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11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gnettamu0-my.sharepoint.com/personal/anton_soriano_agnet_tamu_edu/Documents/Documents/Evaluation/"/>
    </mc:Choice>
  </mc:AlternateContent>
  <xr:revisionPtr revIDLastSave="17" documentId="13_ncr:1_{E94E4366-DBE6-6542-80BE-DCA6A014CCBD}" xr6:coauthVersionLast="47" xr6:coauthVersionMax="47" xr10:uidLastSave="{5139F0E2-0B7C-5B4B-A1F6-F19816821FBA}"/>
  <bookViews>
    <workbookView xWindow="-42080" yWindow="4780" windowWidth="32980" windowHeight="19260" xr2:uid="{00000000-000D-0000-FFFF-FFFF00000000}"/>
  </bookViews>
  <sheets>
    <sheet name="Change in Means- Data Input" sheetId="1" r:id="rId1"/>
    <sheet name="Change in Means- Overview" sheetId="5" r:id="rId2"/>
    <sheet name="Change in Means- Per Item" sheetId="6" r:id="rId3"/>
    <sheet name="Intenions to Adopt- Data Input" sheetId="8" r:id="rId4"/>
    <sheet name="Intenions to Adopt- Overview" sheetId="10" r:id="rId5"/>
    <sheet name="Intenions to Adopt- Per Item" sheetId="9" r:id="rId6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10" l="1"/>
  <c r="F11" i="10"/>
  <c r="F12" i="10"/>
  <c r="F13" i="10"/>
  <c r="E13" i="10"/>
  <c r="E12" i="10"/>
  <c r="E11" i="10"/>
  <c r="E10" i="10"/>
  <c r="D13" i="10"/>
  <c r="D12" i="10"/>
  <c r="D11" i="10"/>
  <c r="D10" i="10"/>
  <c r="BN7" i="9"/>
  <c r="BN6" i="9"/>
  <c r="BN5" i="9"/>
  <c r="BN4" i="9"/>
  <c r="BN11" i="9"/>
  <c r="BN10" i="9"/>
  <c r="BN3" i="9"/>
  <c r="BN9" i="9"/>
  <c r="BG9" i="9"/>
  <c r="BG11" i="9"/>
  <c r="BG10" i="9"/>
  <c r="BG7" i="9"/>
  <c r="BG6" i="9"/>
  <c r="BG5" i="9"/>
  <c r="BG4" i="9"/>
  <c r="BG3" i="9"/>
  <c r="AZ11" i="9"/>
  <c r="AZ10" i="9"/>
  <c r="AZ7" i="9"/>
  <c r="AZ6" i="9"/>
  <c r="AZ5" i="9"/>
  <c r="AZ4" i="9"/>
  <c r="AZ9" i="9"/>
  <c r="AZ3" i="9"/>
  <c r="AS11" i="9"/>
  <c r="AS10" i="9"/>
  <c r="AS9" i="9"/>
  <c r="AS7" i="9"/>
  <c r="AS6" i="9"/>
  <c r="AS5" i="9"/>
  <c r="AS4" i="9"/>
  <c r="AS3" i="9"/>
  <c r="BN48" i="6"/>
  <c r="BN47" i="6"/>
  <c r="BN46" i="6"/>
  <c r="BN45" i="6"/>
  <c r="BN44" i="6"/>
  <c r="BN43" i="6"/>
  <c r="BN42" i="6"/>
  <c r="BN41" i="6"/>
  <c r="BN40" i="6"/>
  <c r="BN39" i="6"/>
  <c r="BG48" i="6"/>
  <c r="BG47" i="6"/>
  <c r="BG46" i="6"/>
  <c r="BG45" i="6"/>
  <c r="BG44" i="6"/>
  <c r="BG43" i="6"/>
  <c r="BG42" i="6"/>
  <c r="BG41" i="6"/>
  <c r="BG40" i="6"/>
  <c r="BG39" i="6"/>
  <c r="AZ48" i="6"/>
  <c r="AZ47" i="6"/>
  <c r="AZ46" i="6"/>
  <c r="AZ45" i="6"/>
  <c r="AZ44" i="6"/>
  <c r="AZ43" i="6"/>
  <c r="AZ42" i="6"/>
  <c r="AZ41" i="6"/>
  <c r="AZ40" i="6"/>
  <c r="AZ39" i="6"/>
  <c r="AS48" i="6"/>
  <c r="AS47" i="6"/>
  <c r="AS46" i="6"/>
  <c r="AS45" i="6"/>
  <c r="AS44" i="6"/>
  <c r="AS43" i="6"/>
  <c r="AS42" i="6"/>
  <c r="AS41" i="6"/>
  <c r="AS40" i="6"/>
  <c r="AS39" i="6"/>
  <c r="BN21" i="6"/>
  <c r="BN19" i="6"/>
  <c r="BN18" i="6"/>
  <c r="BN17" i="6"/>
  <c r="BN16" i="6"/>
  <c r="BG21" i="6"/>
  <c r="BG19" i="6"/>
  <c r="BG18" i="6"/>
  <c r="BG17" i="6"/>
  <c r="BG16" i="6"/>
  <c r="AZ21" i="6"/>
  <c r="AZ19" i="6"/>
  <c r="AZ18" i="6"/>
  <c r="AZ17" i="6"/>
  <c r="AZ16" i="6"/>
  <c r="AS21" i="6"/>
  <c r="AS19" i="6"/>
  <c r="AS18" i="6"/>
  <c r="AS17" i="6"/>
  <c r="AS16" i="6"/>
  <c r="AS20" i="6" s="1"/>
  <c r="AU19" i="6" s="1"/>
  <c r="BN7" i="6"/>
  <c r="BN6" i="6"/>
  <c r="BN5" i="6"/>
  <c r="BN4" i="6"/>
  <c r="BG7" i="6"/>
  <c r="BG6" i="6"/>
  <c r="BG5" i="6"/>
  <c r="BG4" i="6"/>
  <c r="AZ7" i="6"/>
  <c r="AZ6" i="6"/>
  <c r="AZ5" i="6"/>
  <c r="AZ4" i="6"/>
  <c r="BN9" i="6"/>
  <c r="BG9" i="6"/>
  <c r="AZ9" i="6"/>
  <c r="AS9" i="6"/>
  <c r="AS7" i="6"/>
  <c r="AS6" i="6"/>
  <c r="AS5" i="6"/>
  <c r="AS4" i="6"/>
  <c r="Q12" i="5"/>
  <c r="Q11" i="5"/>
  <c r="Q10" i="5"/>
  <c r="Q9" i="5"/>
  <c r="P12" i="5"/>
  <c r="P11" i="5"/>
  <c r="P10" i="5"/>
  <c r="P9" i="5"/>
  <c r="A2" i="10"/>
  <c r="A3" i="10"/>
  <c r="A4" i="10"/>
  <c r="A5" i="10"/>
  <c r="A6" i="10"/>
  <c r="A7" i="10"/>
  <c r="A8" i="10"/>
  <c r="A9" i="10"/>
  <c r="A10" i="10"/>
  <c r="A11" i="10"/>
  <c r="A12" i="10"/>
  <c r="A13" i="10"/>
  <c r="A14" i="10"/>
  <c r="A15" i="10"/>
  <c r="A16" i="10"/>
  <c r="A17" i="10"/>
  <c r="A18" i="10"/>
  <c r="A19" i="10"/>
  <c r="A20" i="10"/>
  <c r="A21" i="10"/>
  <c r="A22" i="10"/>
  <c r="A23" i="10"/>
  <c r="A24" i="10"/>
  <c r="A25" i="10"/>
  <c r="A26" i="10"/>
  <c r="A27" i="10"/>
  <c r="A28" i="10"/>
  <c r="A29" i="10"/>
  <c r="A30" i="10"/>
  <c r="A31" i="10"/>
  <c r="A32" i="10"/>
  <c r="A33" i="10"/>
  <c r="A34" i="10"/>
  <c r="A35" i="10"/>
  <c r="A36" i="10"/>
  <c r="A37" i="10"/>
  <c r="A38" i="10"/>
  <c r="A39" i="10"/>
  <c r="A40" i="10"/>
  <c r="A41" i="10"/>
  <c r="A42" i="10"/>
  <c r="A43" i="10"/>
  <c r="A44" i="10"/>
  <c r="A45" i="10"/>
  <c r="A46" i="10"/>
  <c r="A47" i="10"/>
  <c r="A48" i="10"/>
  <c r="A49" i="10"/>
  <c r="A50" i="10"/>
  <c r="A51" i="10"/>
  <c r="A52" i="10"/>
  <c r="A53" i="10"/>
  <c r="A54" i="10"/>
  <c r="A55" i="10"/>
  <c r="A56" i="10"/>
  <c r="A57" i="10"/>
  <c r="A58" i="10"/>
  <c r="A59" i="10"/>
  <c r="A60" i="10"/>
  <c r="A61" i="10"/>
  <c r="A62" i="10"/>
  <c r="A63" i="10"/>
  <c r="A64" i="10"/>
  <c r="A65" i="10"/>
  <c r="A66" i="10"/>
  <c r="A67" i="10"/>
  <c r="A68" i="10"/>
  <c r="A69" i="10"/>
  <c r="A70" i="10"/>
  <c r="A71" i="10"/>
  <c r="A72" i="10"/>
  <c r="A73" i="10"/>
  <c r="A74" i="10"/>
  <c r="A75" i="10"/>
  <c r="A76" i="10"/>
  <c r="A77" i="10"/>
  <c r="A78" i="10"/>
  <c r="A79" i="10"/>
  <c r="A80" i="10"/>
  <c r="A81" i="10"/>
  <c r="A82" i="10"/>
  <c r="A83" i="10"/>
  <c r="A84" i="10"/>
  <c r="A85" i="10"/>
  <c r="A86" i="10"/>
  <c r="A87" i="10"/>
  <c r="A88" i="10"/>
  <c r="A89" i="10"/>
  <c r="A90" i="10"/>
  <c r="A91" i="10"/>
  <c r="A92" i="10"/>
  <c r="A93" i="10"/>
  <c r="A94" i="10"/>
  <c r="A95" i="10"/>
  <c r="A96" i="10"/>
  <c r="A97" i="10"/>
  <c r="A98" i="10"/>
  <c r="A99" i="10"/>
  <c r="A100" i="10"/>
  <c r="J3" i="5"/>
  <c r="K3" i="5"/>
  <c r="K4" i="5"/>
  <c r="K5" i="5"/>
  <c r="K6" i="5"/>
  <c r="K7" i="5"/>
  <c r="K8" i="5"/>
  <c r="K9" i="5"/>
  <c r="K10" i="5"/>
  <c r="K11" i="5"/>
  <c r="K12" i="5"/>
  <c r="K13" i="5"/>
  <c r="K14" i="5"/>
  <c r="K15" i="5"/>
  <c r="K16" i="5"/>
  <c r="K17" i="5"/>
  <c r="K18" i="5"/>
  <c r="K19" i="5"/>
  <c r="K20" i="5"/>
  <c r="K21" i="5"/>
  <c r="K22" i="5"/>
  <c r="K23" i="5"/>
  <c r="K24" i="5"/>
  <c r="K25" i="5"/>
  <c r="K26" i="5"/>
  <c r="K27" i="5"/>
  <c r="K28" i="5"/>
  <c r="K29" i="5"/>
  <c r="K30" i="5"/>
  <c r="K31" i="5"/>
  <c r="K32" i="5"/>
  <c r="K33" i="5"/>
  <c r="K34" i="5"/>
  <c r="K35" i="5"/>
  <c r="K36" i="5"/>
  <c r="K37" i="5"/>
  <c r="K38" i="5"/>
  <c r="K39" i="5"/>
  <c r="K40" i="5"/>
  <c r="M40" i="5" s="1"/>
  <c r="K41" i="5"/>
  <c r="K42" i="5"/>
  <c r="K43" i="5"/>
  <c r="K44" i="5"/>
  <c r="M44" i="5" s="1"/>
  <c r="K45" i="5"/>
  <c r="M45" i="5" s="1"/>
  <c r="K46" i="5"/>
  <c r="K47" i="5"/>
  <c r="K48" i="5"/>
  <c r="K49" i="5"/>
  <c r="K50" i="5"/>
  <c r="K51" i="5"/>
  <c r="K52" i="5"/>
  <c r="K53" i="5"/>
  <c r="K54" i="5"/>
  <c r="K55" i="5"/>
  <c r="K56" i="5"/>
  <c r="K57" i="5"/>
  <c r="K58" i="5"/>
  <c r="K59" i="5"/>
  <c r="K60" i="5"/>
  <c r="K61" i="5"/>
  <c r="M61" i="5" s="1"/>
  <c r="K62" i="5"/>
  <c r="K63" i="5"/>
  <c r="K64" i="5"/>
  <c r="M64" i="5" s="1"/>
  <c r="K65" i="5"/>
  <c r="K66" i="5"/>
  <c r="K67" i="5"/>
  <c r="K68" i="5"/>
  <c r="K69" i="5"/>
  <c r="K70" i="5"/>
  <c r="K71" i="5"/>
  <c r="K72" i="5"/>
  <c r="K73" i="5"/>
  <c r="K74" i="5"/>
  <c r="K75" i="5"/>
  <c r="M75" i="5" s="1"/>
  <c r="K76" i="5"/>
  <c r="M76" i="5" s="1"/>
  <c r="K77" i="5"/>
  <c r="K78" i="5"/>
  <c r="K79" i="5"/>
  <c r="K80" i="5"/>
  <c r="M80" i="5" s="1"/>
  <c r="K81" i="5"/>
  <c r="K82" i="5"/>
  <c r="K83" i="5"/>
  <c r="K84" i="5"/>
  <c r="M84" i="5" s="1"/>
  <c r="K85" i="5"/>
  <c r="M85" i="5" s="1"/>
  <c r="K86" i="5"/>
  <c r="M86" i="5" s="1"/>
  <c r="K87" i="5"/>
  <c r="K88" i="5"/>
  <c r="K89" i="5"/>
  <c r="K90" i="5"/>
  <c r="K91" i="5"/>
  <c r="K92" i="5"/>
  <c r="K93" i="5"/>
  <c r="M93" i="5" s="1"/>
  <c r="K94" i="5"/>
  <c r="K95" i="5"/>
  <c r="K96" i="5"/>
  <c r="K97" i="5"/>
  <c r="K98" i="5"/>
  <c r="K99" i="5"/>
  <c r="K100" i="5"/>
  <c r="K101" i="5"/>
  <c r="M101" i="5" s="1"/>
  <c r="K102" i="5"/>
  <c r="M102" i="5" s="1"/>
  <c r="L3" i="5"/>
  <c r="L4" i="5"/>
  <c r="L5" i="5"/>
  <c r="L6" i="5"/>
  <c r="L7" i="5"/>
  <c r="L8" i="5"/>
  <c r="L9" i="5"/>
  <c r="L10" i="5"/>
  <c r="L11" i="5"/>
  <c r="L12" i="5"/>
  <c r="L13" i="5"/>
  <c r="L14" i="5"/>
  <c r="L15" i="5"/>
  <c r="L16" i="5"/>
  <c r="L17" i="5"/>
  <c r="L18" i="5"/>
  <c r="L19" i="5"/>
  <c r="L20" i="5"/>
  <c r="L21" i="5"/>
  <c r="L22" i="5"/>
  <c r="L23" i="5"/>
  <c r="L24" i="5"/>
  <c r="L25" i="5"/>
  <c r="L26" i="5"/>
  <c r="L27" i="5"/>
  <c r="L28" i="5"/>
  <c r="L29" i="5"/>
  <c r="L30" i="5"/>
  <c r="L31" i="5"/>
  <c r="L32" i="5"/>
  <c r="L33" i="5"/>
  <c r="L34" i="5"/>
  <c r="L35" i="5"/>
  <c r="L36" i="5"/>
  <c r="L37" i="5"/>
  <c r="L38" i="5"/>
  <c r="L39" i="5"/>
  <c r="L40" i="5"/>
  <c r="L41" i="5"/>
  <c r="L42" i="5"/>
  <c r="L43" i="5"/>
  <c r="L44" i="5"/>
  <c r="L45" i="5"/>
  <c r="L46" i="5"/>
  <c r="L47" i="5"/>
  <c r="L48" i="5"/>
  <c r="L49" i="5"/>
  <c r="L50" i="5"/>
  <c r="L51" i="5"/>
  <c r="L52" i="5"/>
  <c r="L53" i="5"/>
  <c r="L54" i="5"/>
  <c r="L55" i="5"/>
  <c r="L56" i="5"/>
  <c r="L57" i="5"/>
  <c r="L58" i="5"/>
  <c r="L59" i="5"/>
  <c r="L60" i="5"/>
  <c r="L61" i="5"/>
  <c r="L62" i="5"/>
  <c r="L63" i="5"/>
  <c r="L64" i="5"/>
  <c r="L65" i="5"/>
  <c r="L66" i="5"/>
  <c r="L67" i="5"/>
  <c r="L68" i="5"/>
  <c r="L69" i="5"/>
  <c r="L70" i="5"/>
  <c r="L71" i="5"/>
  <c r="L72" i="5"/>
  <c r="L73" i="5"/>
  <c r="L74" i="5"/>
  <c r="L75" i="5"/>
  <c r="L76" i="5"/>
  <c r="L77" i="5"/>
  <c r="L78" i="5"/>
  <c r="L79" i="5"/>
  <c r="L80" i="5"/>
  <c r="L81" i="5"/>
  <c r="L82" i="5"/>
  <c r="L83" i="5"/>
  <c r="L84" i="5"/>
  <c r="L85" i="5"/>
  <c r="L86" i="5"/>
  <c r="L87" i="5"/>
  <c r="L88" i="5"/>
  <c r="L89" i="5"/>
  <c r="L90" i="5"/>
  <c r="L91" i="5"/>
  <c r="L92" i="5"/>
  <c r="L93" i="5"/>
  <c r="L94" i="5"/>
  <c r="L95" i="5"/>
  <c r="L96" i="5"/>
  <c r="L97" i="5"/>
  <c r="L98" i="5"/>
  <c r="L99" i="5"/>
  <c r="L100" i="5"/>
  <c r="L101" i="5"/>
  <c r="L102" i="5"/>
  <c r="J4" i="5"/>
  <c r="J5" i="5"/>
  <c r="J6" i="5"/>
  <c r="J7" i="5"/>
  <c r="J8" i="5"/>
  <c r="J9" i="5"/>
  <c r="J10" i="5"/>
  <c r="J11" i="5"/>
  <c r="J12" i="5"/>
  <c r="J13" i="5"/>
  <c r="J14" i="5"/>
  <c r="J15" i="5"/>
  <c r="J16" i="5"/>
  <c r="J17" i="5"/>
  <c r="J18" i="5"/>
  <c r="J19" i="5"/>
  <c r="J20" i="5"/>
  <c r="J21" i="5"/>
  <c r="J22" i="5"/>
  <c r="J23" i="5"/>
  <c r="J24" i="5"/>
  <c r="J25" i="5"/>
  <c r="J26" i="5"/>
  <c r="J27" i="5"/>
  <c r="J28" i="5"/>
  <c r="J29" i="5"/>
  <c r="J30" i="5"/>
  <c r="J31" i="5"/>
  <c r="J32" i="5"/>
  <c r="J33" i="5"/>
  <c r="J34" i="5"/>
  <c r="J35" i="5"/>
  <c r="J36" i="5"/>
  <c r="J37" i="5"/>
  <c r="J38" i="5"/>
  <c r="J39" i="5"/>
  <c r="J40" i="5"/>
  <c r="J41" i="5"/>
  <c r="J42" i="5"/>
  <c r="J43" i="5"/>
  <c r="J44" i="5"/>
  <c r="J45" i="5"/>
  <c r="J46" i="5"/>
  <c r="J47" i="5"/>
  <c r="J48" i="5"/>
  <c r="J49" i="5"/>
  <c r="J50" i="5"/>
  <c r="J51" i="5"/>
  <c r="J52" i="5"/>
  <c r="J53" i="5"/>
  <c r="J54" i="5"/>
  <c r="J55" i="5"/>
  <c r="J56" i="5"/>
  <c r="J57" i="5"/>
  <c r="J58" i="5"/>
  <c r="J59" i="5"/>
  <c r="J60" i="5"/>
  <c r="J61" i="5"/>
  <c r="J62" i="5"/>
  <c r="J63" i="5"/>
  <c r="J64" i="5"/>
  <c r="J65" i="5"/>
  <c r="J66" i="5"/>
  <c r="J67" i="5"/>
  <c r="J68" i="5"/>
  <c r="J69" i="5"/>
  <c r="J70" i="5"/>
  <c r="J71" i="5"/>
  <c r="J72" i="5"/>
  <c r="J73" i="5"/>
  <c r="J74" i="5"/>
  <c r="J75" i="5"/>
  <c r="J76" i="5"/>
  <c r="J77" i="5"/>
  <c r="J78" i="5"/>
  <c r="J79" i="5"/>
  <c r="J80" i="5"/>
  <c r="J81" i="5"/>
  <c r="J82" i="5"/>
  <c r="J83" i="5"/>
  <c r="J84" i="5"/>
  <c r="J85" i="5"/>
  <c r="J86" i="5"/>
  <c r="J87" i="5"/>
  <c r="J88" i="5"/>
  <c r="J89" i="5"/>
  <c r="J90" i="5"/>
  <c r="J91" i="5"/>
  <c r="J92" i="5"/>
  <c r="J93" i="5"/>
  <c r="J94" i="5"/>
  <c r="J95" i="5"/>
  <c r="J96" i="5"/>
  <c r="J97" i="5"/>
  <c r="J98" i="5"/>
  <c r="J99" i="5"/>
  <c r="J100" i="5"/>
  <c r="J101" i="5"/>
  <c r="J102" i="5"/>
  <c r="I3" i="5"/>
  <c r="I4" i="5"/>
  <c r="I5" i="5"/>
  <c r="I6" i="5"/>
  <c r="I7" i="5"/>
  <c r="I8" i="5"/>
  <c r="I9" i="5"/>
  <c r="I10" i="5"/>
  <c r="I11" i="5"/>
  <c r="I12" i="5"/>
  <c r="I13" i="5"/>
  <c r="I14" i="5"/>
  <c r="I15" i="5"/>
  <c r="I16" i="5"/>
  <c r="I17" i="5"/>
  <c r="I18" i="5"/>
  <c r="I19" i="5"/>
  <c r="I20" i="5"/>
  <c r="I21" i="5"/>
  <c r="I22" i="5"/>
  <c r="I23" i="5"/>
  <c r="I24" i="5"/>
  <c r="I25" i="5"/>
  <c r="I26" i="5"/>
  <c r="I27" i="5"/>
  <c r="I28" i="5"/>
  <c r="I29" i="5"/>
  <c r="I30" i="5"/>
  <c r="I31" i="5"/>
  <c r="I32" i="5"/>
  <c r="I33" i="5"/>
  <c r="I34" i="5"/>
  <c r="I35" i="5"/>
  <c r="I36" i="5"/>
  <c r="I37" i="5"/>
  <c r="I38" i="5"/>
  <c r="I39" i="5"/>
  <c r="I40" i="5"/>
  <c r="I41" i="5"/>
  <c r="I42" i="5"/>
  <c r="I43" i="5"/>
  <c r="I44" i="5"/>
  <c r="I45" i="5"/>
  <c r="I46" i="5"/>
  <c r="I47" i="5"/>
  <c r="I48" i="5"/>
  <c r="I49" i="5"/>
  <c r="I50" i="5"/>
  <c r="I51" i="5"/>
  <c r="I52" i="5"/>
  <c r="I53" i="5"/>
  <c r="I54" i="5"/>
  <c r="I55" i="5"/>
  <c r="I56" i="5"/>
  <c r="I57" i="5"/>
  <c r="I58" i="5"/>
  <c r="I59" i="5"/>
  <c r="I60" i="5"/>
  <c r="I61" i="5"/>
  <c r="I62" i="5"/>
  <c r="I63" i="5"/>
  <c r="I64" i="5"/>
  <c r="I65" i="5"/>
  <c r="I66" i="5"/>
  <c r="I67" i="5"/>
  <c r="I68" i="5"/>
  <c r="I69" i="5"/>
  <c r="I70" i="5"/>
  <c r="I71" i="5"/>
  <c r="I72" i="5"/>
  <c r="I73" i="5"/>
  <c r="I74" i="5"/>
  <c r="I75" i="5"/>
  <c r="I76" i="5"/>
  <c r="I77" i="5"/>
  <c r="I78" i="5"/>
  <c r="I79" i="5"/>
  <c r="I80" i="5"/>
  <c r="I81" i="5"/>
  <c r="I82" i="5"/>
  <c r="I83" i="5"/>
  <c r="I84" i="5"/>
  <c r="I85" i="5"/>
  <c r="I86" i="5"/>
  <c r="I87" i="5"/>
  <c r="I88" i="5"/>
  <c r="I89" i="5"/>
  <c r="I90" i="5"/>
  <c r="I91" i="5"/>
  <c r="I92" i="5"/>
  <c r="I93" i="5"/>
  <c r="I94" i="5"/>
  <c r="I95" i="5"/>
  <c r="I96" i="5"/>
  <c r="I97" i="5"/>
  <c r="I98" i="5"/>
  <c r="I99" i="5"/>
  <c r="I100" i="5"/>
  <c r="I101" i="5"/>
  <c r="I102" i="5"/>
  <c r="H3" i="5"/>
  <c r="H4" i="5"/>
  <c r="H5" i="5"/>
  <c r="H6" i="5"/>
  <c r="H7" i="5"/>
  <c r="H8" i="5"/>
  <c r="H9" i="5"/>
  <c r="H10" i="5"/>
  <c r="H11" i="5"/>
  <c r="H12" i="5"/>
  <c r="H13" i="5"/>
  <c r="H14" i="5"/>
  <c r="H15" i="5"/>
  <c r="H16" i="5"/>
  <c r="H17" i="5"/>
  <c r="H18" i="5"/>
  <c r="H19" i="5"/>
  <c r="H20" i="5"/>
  <c r="H21" i="5"/>
  <c r="H22" i="5"/>
  <c r="H23" i="5"/>
  <c r="H24" i="5"/>
  <c r="H25" i="5"/>
  <c r="H26" i="5"/>
  <c r="H27" i="5"/>
  <c r="H28" i="5"/>
  <c r="H29" i="5"/>
  <c r="H30" i="5"/>
  <c r="H31" i="5"/>
  <c r="H32" i="5"/>
  <c r="H33" i="5"/>
  <c r="H34" i="5"/>
  <c r="H35" i="5"/>
  <c r="H36" i="5"/>
  <c r="H37" i="5"/>
  <c r="H38" i="5"/>
  <c r="H39" i="5"/>
  <c r="H40" i="5"/>
  <c r="H41" i="5"/>
  <c r="H42" i="5"/>
  <c r="H43" i="5"/>
  <c r="H44" i="5"/>
  <c r="H45" i="5"/>
  <c r="H46" i="5"/>
  <c r="H47" i="5"/>
  <c r="H48" i="5"/>
  <c r="H49" i="5"/>
  <c r="H50" i="5"/>
  <c r="H51" i="5"/>
  <c r="H52" i="5"/>
  <c r="H53" i="5"/>
  <c r="H54" i="5"/>
  <c r="H55" i="5"/>
  <c r="H56" i="5"/>
  <c r="H57" i="5"/>
  <c r="H58" i="5"/>
  <c r="H59" i="5"/>
  <c r="H60" i="5"/>
  <c r="H61" i="5"/>
  <c r="H62" i="5"/>
  <c r="H63" i="5"/>
  <c r="H64" i="5"/>
  <c r="H65" i="5"/>
  <c r="H66" i="5"/>
  <c r="H67" i="5"/>
  <c r="H68" i="5"/>
  <c r="H69" i="5"/>
  <c r="H70" i="5"/>
  <c r="H71" i="5"/>
  <c r="H72" i="5"/>
  <c r="H73" i="5"/>
  <c r="H74" i="5"/>
  <c r="H75" i="5"/>
  <c r="H76" i="5"/>
  <c r="H77" i="5"/>
  <c r="H78" i="5"/>
  <c r="H79" i="5"/>
  <c r="H80" i="5"/>
  <c r="H81" i="5"/>
  <c r="H82" i="5"/>
  <c r="H83" i="5"/>
  <c r="H84" i="5"/>
  <c r="H85" i="5"/>
  <c r="H86" i="5"/>
  <c r="H87" i="5"/>
  <c r="H88" i="5"/>
  <c r="H89" i="5"/>
  <c r="H90" i="5"/>
  <c r="H91" i="5"/>
  <c r="H92" i="5"/>
  <c r="H93" i="5"/>
  <c r="H94" i="5"/>
  <c r="H95" i="5"/>
  <c r="H96" i="5"/>
  <c r="H97" i="5"/>
  <c r="H98" i="5"/>
  <c r="H99" i="5"/>
  <c r="H100" i="5"/>
  <c r="H101" i="5"/>
  <c r="H102" i="5"/>
  <c r="G3" i="5"/>
  <c r="G4" i="5"/>
  <c r="G5" i="5"/>
  <c r="G6" i="5"/>
  <c r="G7" i="5"/>
  <c r="G8" i="5"/>
  <c r="G9" i="5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G39" i="5"/>
  <c r="G40" i="5"/>
  <c r="G41" i="5"/>
  <c r="G42" i="5"/>
  <c r="G43" i="5"/>
  <c r="G44" i="5"/>
  <c r="G45" i="5"/>
  <c r="G46" i="5"/>
  <c r="G47" i="5"/>
  <c r="G48" i="5"/>
  <c r="G49" i="5"/>
  <c r="G50" i="5"/>
  <c r="G51" i="5"/>
  <c r="G52" i="5"/>
  <c r="G53" i="5"/>
  <c r="G54" i="5"/>
  <c r="G55" i="5"/>
  <c r="G56" i="5"/>
  <c r="G57" i="5"/>
  <c r="G58" i="5"/>
  <c r="G59" i="5"/>
  <c r="G60" i="5"/>
  <c r="G61" i="5"/>
  <c r="G62" i="5"/>
  <c r="G63" i="5"/>
  <c r="G64" i="5"/>
  <c r="G65" i="5"/>
  <c r="G66" i="5"/>
  <c r="G67" i="5"/>
  <c r="G68" i="5"/>
  <c r="G69" i="5"/>
  <c r="G70" i="5"/>
  <c r="G71" i="5"/>
  <c r="G72" i="5"/>
  <c r="G73" i="5"/>
  <c r="G74" i="5"/>
  <c r="G75" i="5"/>
  <c r="G76" i="5"/>
  <c r="G77" i="5"/>
  <c r="G78" i="5"/>
  <c r="G79" i="5"/>
  <c r="G80" i="5"/>
  <c r="G81" i="5"/>
  <c r="G82" i="5"/>
  <c r="G83" i="5"/>
  <c r="G84" i="5"/>
  <c r="G85" i="5"/>
  <c r="G86" i="5"/>
  <c r="G87" i="5"/>
  <c r="G88" i="5"/>
  <c r="G89" i="5"/>
  <c r="G90" i="5"/>
  <c r="G91" i="5"/>
  <c r="G92" i="5"/>
  <c r="G93" i="5"/>
  <c r="G94" i="5"/>
  <c r="G95" i="5"/>
  <c r="G96" i="5"/>
  <c r="G97" i="5"/>
  <c r="G98" i="5"/>
  <c r="G99" i="5"/>
  <c r="G100" i="5"/>
  <c r="G101" i="5"/>
  <c r="G102" i="5"/>
  <c r="F3" i="5"/>
  <c r="Q8" i="5"/>
  <c r="R8" i="5" s="1"/>
  <c r="Q7" i="5"/>
  <c r="R7" i="5" s="1"/>
  <c r="Q6" i="5"/>
  <c r="R6" i="5" s="1"/>
  <c r="Q5" i="5"/>
  <c r="R5" i="5" s="1"/>
  <c r="Q4" i="5"/>
  <c r="P8" i="5"/>
  <c r="P6" i="5"/>
  <c r="P5" i="5"/>
  <c r="P4" i="5"/>
  <c r="P3" i="5"/>
  <c r="Q3" i="5"/>
  <c r="M53" i="5"/>
  <c r="J3" i="9"/>
  <c r="J4" i="9"/>
  <c r="J5" i="9"/>
  <c r="J6" i="9"/>
  <c r="J7" i="9"/>
  <c r="J9" i="9"/>
  <c r="J10" i="9"/>
  <c r="J11" i="9"/>
  <c r="C10" i="9"/>
  <c r="C11" i="9"/>
  <c r="AL11" i="9"/>
  <c r="AL10" i="9"/>
  <c r="AL7" i="9"/>
  <c r="AL6" i="9"/>
  <c r="AL5" i="9"/>
  <c r="AL4" i="9"/>
  <c r="AL3" i="9"/>
  <c r="AE11" i="9"/>
  <c r="AE10" i="9"/>
  <c r="AE7" i="9"/>
  <c r="AE6" i="9"/>
  <c r="AE5" i="9"/>
  <c r="AE4" i="9"/>
  <c r="AE3" i="9"/>
  <c r="X11" i="9"/>
  <c r="X10" i="9"/>
  <c r="X7" i="9"/>
  <c r="X6" i="9"/>
  <c r="X5" i="9"/>
  <c r="X4" i="9"/>
  <c r="X3" i="9"/>
  <c r="Q11" i="9"/>
  <c r="Q10" i="9"/>
  <c r="Q7" i="9"/>
  <c r="Q6" i="9"/>
  <c r="Q5" i="9"/>
  <c r="Q4" i="9"/>
  <c r="Q3" i="9"/>
  <c r="AL9" i="9"/>
  <c r="AE9" i="9"/>
  <c r="X9" i="9"/>
  <c r="Q9" i="9"/>
  <c r="C7" i="9"/>
  <c r="C6" i="9"/>
  <c r="C5" i="9"/>
  <c r="C4" i="9"/>
  <c r="C3" i="9"/>
  <c r="AL48" i="6"/>
  <c r="AL44" i="6"/>
  <c r="AL43" i="6"/>
  <c r="AL42" i="6"/>
  <c r="AL47" i="6"/>
  <c r="AL41" i="6"/>
  <c r="AL40" i="6"/>
  <c r="AL46" i="6"/>
  <c r="AL39" i="6"/>
  <c r="AL45" i="6"/>
  <c r="AE48" i="6"/>
  <c r="AE44" i="6"/>
  <c r="AE43" i="6"/>
  <c r="AE42" i="6"/>
  <c r="AE47" i="6"/>
  <c r="AE41" i="6"/>
  <c r="AE40" i="6"/>
  <c r="AE46" i="6"/>
  <c r="AE39" i="6"/>
  <c r="AE45" i="6"/>
  <c r="X48" i="6"/>
  <c r="X44" i="6"/>
  <c r="X43" i="6"/>
  <c r="X42" i="6"/>
  <c r="X47" i="6"/>
  <c r="X41" i="6"/>
  <c r="X40" i="6"/>
  <c r="X46" i="6"/>
  <c r="X39" i="6"/>
  <c r="X45" i="6"/>
  <c r="Q48" i="6"/>
  <c r="Q44" i="6"/>
  <c r="Q43" i="6"/>
  <c r="Q42" i="6"/>
  <c r="Q47" i="6"/>
  <c r="Q41" i="6"/>
  <c r="Q40" i="6"/>
  <c r="Q46" i="6"/>
  <c r="Q39" i="6"/>
  <c r="Q45" i="6"/>
  <c r="J48" i="6"/>
  <c r="J44" i="6"/>
  <c r="J43" i="6"/>
  <c r="J42" i="6"/>
  <c r="J47" i="6"/>
  <c r="J41" i="6"/>
  <c r="J40" i="6"/>
  <c r="J46" i="6"/>
  <c r="J39" i="6"/>
  <c r="J45" i="6"/>
  <c r="C45" i="6"/>
  <c r="C48" i="6"/>
  <c r="C44" i="6"/>
  <c r="C43" i="6"/>
  <c r="C42" i="6"/>
  <c r="C47" i="6"/>
  <c r="C41" i="6"/>
  <c r="C40" i="6"/>
  <c r="C46" i="6"/>
  <c r="C39" i="6"/>
  <c r="AL9" i="6"/>
  <c r="AL21" i="6"/>
  <c r="AL19" i="6"/>
  <c r="AL18" i="6"/>
  <c r="AL17" i="6"/>
  <c r="AL16" i="6"/>
  <c r="AL7" i="6"/>
  <c r="AL6" i="6"/>
  <c r="AL5" i="6"/>
  <c r="AL4" i="6"/>
  <c r="AE21" i="6"/>
  <c r="AE19" i="6"/>
  <c r="AE18" i="6"/>
  <c r="AE17" i="6"/>
  <c r="AE16" i="6"/>
  <c r="AE9" i="6"/>
  <c r="AE7" i="6"/>
  <c r="AE6" i="6"/>
  <c r="AE5" i="6"/>
  <c r="AE4" i="6"/>
  <c r="X21" i="6"/>
  <c r="X19" i="6"/>
  <c r="X18" i="6"/>
  <c r="X17" i="6"/>
  <c r="X16" i="6"/>
  <c r="X9" i="6"/>
  <c r="X7" i="6"/>
  <c r="X6" i="6"/>
  <c r="X5" i="6"/>
  <c r="X4" i="6"/>
  <c r="Q21" i="6"/>
  <c r="Q9" i="6"/>
  <c r="Q19" i="6"/>
  <c r="Q18" i="6"/>
  <c r="Q17" i="6"/>
  <c r="Q6" i="6"/>
  <c r="Q7" i="6"/>
  <c r="Q5" i="6"/>
  <c r="Q16" i="6"/>
  <c r="Q4" i="6"/>
  <c r="J4" i="6"/>
  <c r="J21" i="6"/>
  <c r="J19" i="6"/>
  <c r="J18" i="6"/>
  <c r="J17" i="6"/>
  <c r="J16" i="6"/>
  <c r="J9" i="6"/>
  <c r="J7" i="6"/>
  <c r="J6" i="6"/>
  <c r="J5" i="6"/>
  <c r="C19" i="6"/>
  <c r="C18" i="6"/>
  <c r="C17" i="6"/>
  <c r="C16" i="6"/>
  <c r="C4" i="6"/>
  <c r="C7" i="6"/>
  <c r="C6" i="6"/>
  <c r="C5" i="6"/>
  <c r="A3" i="5"/>
  <c r="F102" i="5"/>
  <c r="E102" i="5"/>
  <c r="D102" i="5"/>
  <c r="C102" i="5"/>
  <c r="B102" i="5"/>
  <c r="A102" i="5"/>
  <c r="C9" i="9"/>
  <c r="F4" i="5"/>
  <c r="F5" i="5"/>
  <c r="F6" i="5"/>
  <c r="F7" i="5"/>
  <c r="F8" i="5"/>
  <c r="F9" i="5"/>
  <c r="F10" i="5"/>
  <c r="F11" i="5"/>
  <c r="F12" i="5"/>
  <c r="F13" i="5"/>
  <c r="F14" i="5"/>
  <c r="F15" i="5"/>
  <c r="F16" i="5"/>
  <c r="F17" i="5"/>
  <c r="F18" i="5"/>
  <c r="F19" i="5"/>
  <c r="F20" i="5"/>
  <c r="F21" i="5"/>
  <c r="F22" i="5"/>
  <c r="F23" i="5"/>
  <c r="F24" i="5"/>
  <c r="F25" i="5"/>
  <c r="F26" i="5"/>
  <c r="F27" i="5"/>
  <c r="F28" i="5"/>
  <c r="F29" i="5"/>
  <c r="F30" i="5"/>
  <c r="F31" i="5"/>
  <c r="F32" i="5"/>
  <c r="F33" i="5"/>
  <c r="F34" i="5"/>
  <c r="F35" i="5"/>
  <c r="F36" i="5"/>
  <c r="F37" i="5"/>
  <c r="F38" i="5"/>
  <c r="F39" i="5"/>
  <c r="F40" i="5"/>
  <c r="F41" i="5"/>
  <c r="F42" i="5"/>
  <c r="F43" i="5"/>
  <c r="F44" i="5"/>
  <c r="F45" i="5"/>
  <c r="F46" i="5"/>
  <c r="F47" i="5"/>
  <c r="F48" i="5"/>
  <c r="F49" i="5"/>
  <c r="F50" i="5"/>
  <c r="F51" i="5"/>
  <c r="F52" i="5"/>
  <c r="F53" i="5"/>
  <c r="F54" i="5"/>
  <c r="F55" i="5"/>
  <c r="F56" i="5"/>
  <c r="F57" i="5"/>
  <c r="F58" i="5"/>
  <c r="F59" i="5"/>
  <c r="F60" i="5"/>
  <c r="F61" i="5"/>
  <c r="F62" i="5"/>
  <c r="F63" i="5"/>
  <c r="F64" i="5"/>
  <c r="F65" i="5"/>
  <c r="F66" i="5"/>
  <c r="F67" i="5"/>
  <c r="F68" i="5"/>
  <c r="F69" i="5"/>
  <c r="F70" i="5"/>
  <c r="F71" i="5"/>
  <c r="F72" i="5"/>
  <c r="F73" i="5"/>
  <c r="F74" i="5"/>
  <c r="F75" i="5"/>
  <c r="F76" i="5"/>
  <c r="F77" i="5"/>
  <c r="F78" i="5"/>
  <c r="F79" i="5"/>
  <c r="F80" i="5"/>
  <c r="F81" i="5"/>
  <c r="F82" i="5"/>
  <c r="F83" i="5"/>
  <c r="F84" i="5"/>
  <c r="F85" i="5"/>
  <c r="F86" i="5"/>
  <c r="F87" i="5"/>
  <c r="F88" i="5"/>
  <c r="F89" i="5"/>
  <c r="F90" i="5"/>
  <c r="F91" i="5"/>
  <c r="F92" i="5"/>
  <c r="F93" i="5"/>
  <c r="F94" i="5"/>
  <c r="F95" i="5"/>
  <c r="F96" i="5"/>
  <c r="F97" i="5"/>
  <c r="F98" i="5"/>
  <c r="F99" i="5"/>
  <c r="F100" i="5"/>
  <c r="F101" i="5"/>
  <c r="E3" i="5"/>
  <c r="E4" i="5"/>
  <c r="E5" i="5"/>
  <c r="E6" i="5"/>
  <c r="E7" i="5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E35" i="5"/>
  <c r="E36" i="5"/>
  <c r="E37" i="5"/>
  <c r="E38" i="5"/>
  <c r="E39" i="5"/>
  <c r="E40" i="5"/>
  <c r="E41" i="5"/>
  <c r="E42" i="5"/>
  <c r="E43" i="5"/>
  <c r="E44" i="5"/>
  <c r="E45" i="5"/>
  <c r="E46" i="5"/>
  <c r="E47" i="5"/>
  <c r="E48" i="5"/>
  <c r="E49" i="5"/>
  <c r="E50" i="5"/>
  <c r="E51" i="5"/>
  <c r="E52" i="5"/>
  <c r="E53" i="5"/>
  <c r="E54" i="5"/>
  <c r="E55" i="5"/>
  <c r="E56" i="5"/>
  <c r="E57" i="5"/>
  <c r="E58" i="5"/>
  <c r="E59" i="5"/>
  <c r="E60" i="5"/>
  <c r="E61" i="5"/>
  <c r="E62" i="5"/>
  <c r="E63" i="5"/>
  <c r="E64" i="5"/>
  <c r="E65" i="5"/>
  <c r="E66" i="5"/>
  <c r="E67" i="5"/>
  <c r="E68" i="5"/>
  <c r="E69" i="5"/>
  <c r="E70" i="5"/>
  <c r="E71" i="5"/>
  <c r="E72" i="5"/>
  <c r="E73" i="5"/>
  <c r="E74" i="5"/>
  <c r="E75" i="5"/>
  <c r="E76" i="5"/>
  <c r="E77" i="5"/>
  <c r="E78" i="5"/>
  <c r="E79" i="5"/>
  <c r="E80" i="5"/>
  <c r="E81" i="5"/>
  <c r="E82" i="5"/>
  <c r="E83" i="5"/>
  <c r="E84" i="5"/>
  <c r="E85" i="5"/>
  <c r="E86" i="5"/>
  <c r="E87" i="5"/>
  <c r="E88" i="5"/>
  <c r="E89" i="5"/>
  <c r="E90" i="5"/>
  <c r="E91" i="5"/>
  <c r="E92" i="5"/>
  <c r="E93" i="5"/>
  <c r="E94" i="5"/>
  <c r="E95" i="5"/>
  <c r="E96" i="5"/>
  <c r="E97" i="5"/>
  <c r="E98" i="5"/>
  <c r="E99" i="5"/>
  <c r="E100" i="5"/>
  <c r="E101" i="5"/>
  <c r="D3" i="5"/>
  <c r="D4" i="5"/>
  <c r="D5" i="5"/>
  <c r="D6" i="5"/>
  <c r="D7" i="5"/>
  <c r="D8" i="5"/>
  <c r="D9" i="5"/>
  <c r="D10" i="5"/>
  <c r="D11" i="5"/>
  <c r="D12" i="5"/>
  <c r="D13" i="5"/>
  <c r="D14" i="5"/>
  <c r="D15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D42" i="5"/>
  <c r="D43" i="5"/>
  <c r="D44" i="5"/>
  <c r="D45" i="5"/>
  <c r="D46" i="5"/>
  <c r="D47" i="5"/>
  <c r="D48" i="5"/>
  <c r="D49" i="5"/>
  <c r="D50" i="5"/>
  <c r="D51" i="5"/>
  <c r="D52" i="5"/>
  <c r="D53" i="5"/>
  <c r="D54" i="5"/>
  <c r="D55" i="5"/>
  <c r="D56" i="5"/>
  <c r="D57" i="5"/>
  <c r="D58" i="5"/>
  <c r="D59" i="5"/>
  <c r="D60" i="5"/>
  <c r="D61" i="5"/>
  <c r="D62" i="5"/>
  <c r="D63" i="5"/>
  <c r="D64" i="5"/>
  <c r="D65" i="5"/>
  <c r="D66" i="5"/>
  <c r="D67" i="5"/>
  <c r="D68" i="5"/>
  <c r="D69" i="5"/>
  <c r="D70" i="5"/>
  <c r="D71" i="5"/>
  <c r="D72" i="5"/>
  <c r="D73" i="5"/>
  <c r="D74" i="5"/>
  <c r="D75" i="5"/>
  <c r="D76" i="5"/>
  <c r="D77" i="5"/>
  <c r="D78" i="5"/>
  <c r="D79" i="5"/>
  <c r="D80" i="5"/>
  <c r="D81" i="5"/>
  <c r="D82" i="5"/>
  <c r="D83" i="5"/>
  <c r="D84" i="5"/>
  <c r="D85" i="5"/>
  <c r="D86" i="5"/>
  <c r="D87" i="5"/>
  <c r="D88" i="5"/>
  <c r="D89" i="5"/>
  <c r="D90" i="5"/>
  <c r="D91" i="5"/>
  <c r="D92" i="5"/>
  <c r="D93" i="5"/>
  <c r="D94" i="5"/>
  <c r="D95" i="5"/>
  <c r="D96" i="5"/>
  <c r="D97" i="5"/>
  <c r="D98" i="5"/>
  <c r="D99" i="5"/>
  <c r="D100" i="5"/>
  <c r="D101" i="5"/>
  <c r="C3" i="5"/>
  <c r="C4" i="5"/>
  <c r="C5" i="5"/>
  <c r="C6" i="5"/>
  <c r="C7" i="5"/>
  <c r="C8" i="5"/>
  <c r="C9" i="5"/>
  <c r="C10" i="5"/>
  <c r="C11" i="5"/>
  <c r="C12" i="5"/>
  <c r="C13" i="5"/>
  <c r="C14" i="5"/>
  <c r="C15" i="5"/>
  <c r="C16" i="5"/>
  <c r="C17" i="5"/>
  <c r="C18" i="5"/>
  <c r="C19" i="5"/>
  <c r="C20" i="5"/>
  <c r="C21" i="5"/>
  <c r="C22" i="5"/>
  <c r="C23" i="5"/>
  <c r="C24" i="5"/>
  <c r="C25" i="5"/>
  <c r="C26" i="5"/>
  <c r="C27" i="5"/>
  <c r="C28" i="5"/>
  <c r="C29" i="5"/>
  <c r="C30" i="5"/>
  <c r="C31" i="5"/>
  <c r="C32" i="5"/>
  <c r="C33" i="5"/>
  <c r="C34" i="5"/>
  <c r="C35" i="5"/>
  <c r="C36" i="5"/>
  <c r="C37" i="5"/>
  <c r="C38" i="5"/>
  <c r="C39" i="5"/>
  <c r="C40" i="5"/>
  <c r="C41" i="5"/>
  <c r="C42" i="5"/>
  <c r="C43" i="5"/>
  <c r="C44" i="5"/>
  <c r="C45" i="5"/>
  <c r="C46" i="5"/>
  <c r="C47" i="5"/>
  <c r="C48" i="5"/>
  <c r="C49" i="5"/>
  <c r="C50" i="5"/>
  <c r="C51" i="5"/>
  <c r="M51" i="5" s="1"/>
  <c r="C52" i="5"/>
  <c r="C53" i="5"/>
  <c r="C54" i="5"/>
  <c r="C55" i="5"/>
  <c r="M55" i="5" s="1"/>
  <c r="C56" i="5"/>
  <c r="C57" i="5"/>
  <c r="C58" i="5"/>
  <c r="C59" i="5"/>
  <c r="C60" i="5"/>
  <c r="C61" i="5"/>
  <c r="C62" i="5"/>
  <c r="C63" i="5"/>
  <c r="C64" i="5"/>
  <c r="C65" i="5"/>
  <c r="C66" i="5"/>
  <c r="C67" i="5"/>
  <c r="C68" i="5"/>
  <c r="C69" i="5"/>
  <c r="C70" i="5"/>
  <c r="C71" i="5"/>
  <c r="C72" i="5"/>
  <c r="C73" i="5"/>
  <c r="C74" i="5"/>
  <c r="C75" i="5"/>
  <c r="C76" i="5"/>
  <c r="C77" i="5"/>
  <c r="C78" i="5"/>
  <c r="C79" i="5"/>
  <c r="C80" i="5"/>
  <c r="C81" i="5"/>
  <c r="C82" i="5"/>
  <c r="C83" i="5"/>
  <c r="C84" i="5"/>
  <c r="C85" i="5"/>
  <c r="C86" i="5"/>
  <c r="C87" i="5"/>
  <c r="C88" i="5"/>
  <c r="C89" i="5"/>
  <c r="C90" i="5"/>
  <c r="C91" i="5"/>
  <c r="M91" i="5" s="1"/>
  <c r="C92" i="5"/>
  <c r="C93" i="5"/>
  <c r="C94" i="5"/>
  <c r="C95" i="5"/>
  <c r="C96" i="5"/>
  <c r="C97" i="5"/>
  <c r="C98" i="5"/>
  <c r="C99" i="5"/>
  <c r="C100" i="5"/>
  <c r="C101" i="5"/>
  <c r="B3" i="5"/>
  <c r="B4" i="5"/>
  <c r="B5" i="5"/>
  <c r="B6" i="5"/>
  <c r="B7" i="5"/>
  <c r="B8" i="5"/>
  <c r="B9" i="5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36" i="5"/>
  <c r="B37" i="5"/>
  <c r="B38" i="5"/>
  <c r="B39" i="5"/>
  <c r="B40" i="5"/>
  <c r="B41" i="5"/>
  <c r="B42" i="5"/>
  <c r="B43" i="5"/>
  <c r="B44" i="5"/>
  <c r="B45" i="5"/>
  <c r="B46" i="5"/>
  <c r="B47" i="5"/>
  <c r="B48" i="5"/>
  <c r="B49" i="5"/>
  <c r="B50" i="5"/>
  <c r="B51" i="5"/>
  <c r="B52" i="5"/>
  <c r="B53" i="5"/>
  <c r="B54" i="5"/>
  <c r="B55" i="5"/>
  <c r="B56" i="5"/>
  <c r="B57" i="5"/>
  <c r="B58" i="5"/>
  <c r="B59" i="5"/>
  <c r="B60" i="5"/>
  <c r="B61" i="5"/>
  <c r="B62" i="5"/>
  <c r="B63" i="5"/>
  <c r="B64" i="5"/>
  <c r="B65" i="5"/>
  <c r="B66" i="5"/>
  <c r="B67" i="5"/>
  <c r="B68" i="5"/>
  <c r="B69" i="5"/>
  <c r="M69" i="5" s="1"/>
  <c r="B70" i="5"/>
  <c r="M70" i="5" s="1"/>
  <c r="B71" i="5"/>
  <c r="B72" i="5"/>
  <c r="B73" i="5"/>
  <c r="B74" i="5"/>
  <c r="B75" i="5"/>
  <c r="B76" i="5"/>
  <c r="B77" i="5"/>
  <c r="M77" i="5" s="1"/>
  <c r="B78" i="5"/>
  <c r="B79" i="5"/>
  <c r="B80" i="5"/>
  <c r="B81" i="5"/>
  <c r="B82" i="5"/>
  <c r="B83" i="5"/>
  <c r="B84" i="5"/>
  <c r="B85" i="5"/>
  <c r="B86" i="5"/>
  <c r="B87" i="5"/>
  <c r="B88" i="5"/>
  <c r="B89" i="5"/>
  <c r="B90" i="5"/>
  <c r="B91" i="5"/>
  <c r="B92" i="5"/>
  <c r="B93" i="5"/>
  <c r="B94" i="5"/>
  <c r="B95" i="5"/>
  <c r="B96" i="5"/>
  <c r="B97" i="5"/>
  <c r="B98" i="5"/>
  <c r="B99" i="5"/>
  <c r="B100" i="5"/>
  <c r="B101" i="5"/>
  <c r="C21" i="6"/>
  <c r="C9" i="6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M39" i="5" s="1"/>
  <c r="A40" i="5"/>
  <c r="A41" i="5"/>
  <c r="M41" i="5" s="1"/>
  <c r="A42" i="5"/>
  <c r="A43" i="5"/>
  <c r="M43" i="5" s="1"/>
  <c r="A44" i="5"/>
  <c r="A45" i="5"/>
  <c r="A46" i="5"/>
  <c r="A47" i="5"/>
  <c r="M47" i="5" s="1"/>
  <c r="A48" i="5"/>
  <c r="A49" i="5"/>
  <c r="M49" i="5" s="1"/>
  <c r="A50" i="5"/>
  <c r="A51" i="5"/>
  <c r="A52" i="5"/>
  <c r="M52" i="5" s="1"/>
  <c r="A53" i="5"/>
  <c r="A54" i="5"/>
  <c r="A55" i="5"/>
  <c r="A56" i="5"/>
  <c r="A57" i="5"/>
  <c r="A58" i="5"/>
  <c r="M58" i="5" s="1"/>
  <c r="A59" i="5"/>
  <c r="M59" i="5" s="1"/>
  <c r="A60" i="5"/>
  <c r="M60" i="5" s="1"/>
  <c r="A61" i="5"/>
  <c r="A62" i="5"/>
  <c r="A63" i="5"/>
  <c r="M63" i="5" s="1"/>
  <c r="A64" i="5"/>
  <c r="A65" i="5"/>
  <c r="M65" i="5" s="1"/>
  <c r="A66" i="5"/>
  <c r="M66" i="5" s="1"/>
  <c r="A67" i="5"/>
  <c r="M67" i="5" s="1"/>
  <c r="A68" i="5"/>
  <c r="M68" i="5" s="1"/>
  <c r="A69" i="5"/>
  <c r="A70" i="5"/>
  <c r="A71" i="5"/>
  <c r="A72" i="5"/>
  <c r="A73" i="5"/>
  <c r="A74" i="5"/>
  <c r="A75" i="5"/>
  <c r="A76" i="5"/>
  <c r="A77" i="5"/>
  <c r="A78" i="5"/>
  <c r="A79" i="5"/>
  <c r="A80" i="5"/>
  <c r="A81" i="5"/>
  <c r="M81" i="5" s="1"/>
  <c r="A82" i="5"/>
  <c r="M82" i="5" s="1"/>
  <c r="A83" i="5"/>
  <c r="M83" i="5" s="1"/>
  <c r="A84" i="5"/>
  <c r="A85" i="5"/>
  <c r="A86" i="5"/>
  <c r="A87" i="5"/>
  <c r="M87" i="5" s="1"/>
  <c r="A88" i="5"/>
  <c r="A89" i="5"/>
  <c r="M89" i="5" s="1"/>
  <c r="A90" i="5"/>
  <c r="A91" i="5"/>
  <c r="A92" i="5"/>
  <c r="M92" i="5" s="1"/>
  <c r="A93" i="5"/>
  <c r="A94" i="5"/>
  <c r="A95" i="5"/>
  <c r="A96" i="5"/>
  <c r="A97" i="5"/>
  <c r="M97" i="5" s="1"/>
  <c r="A98" i="5"/>
  <c r="M98" i="5" s="1"/>
  <c r="A99" i="5"/>
  <c r="M99" i="5" s="1"/>
  <c r="A100" i="5"/>
  <c r="M100" i="5" s="1"/>
  <c r="A101" i="5"/>
  <c r="P7" i="5"/>
  <c r="P22" i="5" l="1"/>
  <c r="D9" i="10"/>
  <c r="AS30" i="6"/>
  <c r="BG51" i="6"/>
  <c r="P21" i="5"/>
  <c r="R3" i="5"/>
  <c r="BN32" i="6"/>
  <c r="P36" i="5"/>
  <c r="P20" i="5"/>
  <c r="AS52" i="6"/>
  <c r="AT44" i="6" s="1"/>
  <c r="AZ32" i="6"/>
  <c r="BN51" i="6"/>
  <c r="R9" i="5"/>
  <c r="P37" i="5"/>
  <c r="R10" i="5"/>
  <c r="R11" i="5"/>
  <c r="R4" i="5"/>
  <c r="AS29" i="6"/>
  <c r="BG32" i="6"/>
  <c r="P39" i="5"/>
  <c r="R12" i="5"/>
  <c r="D6" i="10"/>
  <c r="BP16" i="6"/>
  <c r="BQ16" i="6" s="1"/>
  <c r="BP17" i="6"/>
  <c r="BP18" i="6"/>
  <c r="BP20" i="6" s="1"/>
  <c r="P38" i="5"/>
  <c r="BN8" i="6"/>
  <c r="BP5" i="6" s="1"/>
  <c r="BN20" i="6"/>
  <c r="BP19" i="6" s="1"/>
  <c r="BN22" i="6"/>
  <c r="BO16" i="6" s="1"/>
  <c r="AS32" i="6"/>
  <c r="BG28" i="6"/>
  <c r="BG31" i="6" s="1"/>
  <c r="BG33" i="6" s="1"/>
  <c r="BH32" i="6" s="1"/>
  <c r="AZ52" i="6"/>
  <c r="BH47" i="6"/>
  <c r="M78" i="5"/>
  <c r="M46" i="5"/>
  <c r="BG8" i="6"/>
  <c r="BI7" i="6" s="1"/>
  <c r="BP7" i="6"/>
  <c r="BG29" i="6"/>
  <c r="AS51" i="6"/>
  <c r="BG52" i="6"/>
  <c r="BH51" i="6" s="1"/>
  <c r="BA43" i="6"/>
  <c r="BH48" i="6"/>
  <c r="M94" i="5"/>
  <c r="M62" i="5"/>
  <c r="BA40" i="6"/>
  <c r="M90" i="5"/>
  <c r="M74" i="5"/>
  <c r="M50" i="5"/>
  <c r="M42" i="5"/>
  <c r="M6" i="5"/>
  <c r="AZ28" i="6"/>
  <c r="BG30" i="6"/>
  <c r="BN52" i="6"/>
  <c r="BO47" i="6" s="1"/>
  <c r="M54" i="5"/>
  <c r="M73" i="5"/>
  <c r="M57" i="5"/>
  <c r="P23" i="5"/>
  <c r="AZ29" i="6"/>
  <c r="BN28" i="6"/>
  <c r="AT46" i="6"/>
  <c r="AZ51" i="6"/>
  <c r="BA51" i="6" s="1"/>
  <c r="M88" i="5"/>
  <c r="M72" i="5"/>
  <c r="M56" i="5"/>
  <c r="M48" i="5"/>
  <c r="P19" i="5"/>
  <c r="AS8" i="6"/>
  <c r="AU6" i="6" s="1"/>
  <c r="AZ30" i="6"/>
  <c r="BN29" i="6"/>
  <c r="BH43" i="6"/>
  <c r="M38" i="5"/>
  <c r="M96" i="5"/>
  <c r="M95" i="5"/>
  <c r="M79" i="5"/>
  <c r="M71" i="5"/>
  <c r="AS28" i="6"/>
  <c r="BN30" i="6"/>
  <c r="AZ8" i="9"/>
  <c r="BB3" i="9"/>
  <c r="BG8" i="9"/>
  <c r="BI3" i="9" s="1"/>
  <c r="BN49" i="6"/>
  <c r="AS8" i="9"/>
  <c r="AU7" i="9" s="1"/>
  <c r="BN8" i="9"/>
  <c r="BH39" i="6"/>
  <c r="BA41" i="6"/>
  <c r="BA46" i="6"/>
  <c r="BA42" i="6"/>
  <c r="BA39" i="6"/>
  <c r="BH46" i="6"/>
  <c r="BH42" i="6"/>
  <c r="BO21" i="6"/>
  <c r="BN31" i="6"/>
  <c r="BP29" i="6" s="1"/>
  <c r="AS31" i="6"/>
  <c r="AU30" i="6" s="1"/>
  <c r="AS22" i="6"/>
  <c r="AU16" i="6"/>
  <c r="AU17" i="6"/>
  <c r="BG20" i="6"/>
  <c r="BI18" i="6" s="1"/>
  <c r="AZ20" i="6"/>
  <c r="AZ22" i="6" s="1"/>
  <c r="AU18" i="6"/>
  <c r="F20" i="10"/>
  <c r="AZ8" i="6"/>
  <c r="M37" i="5"/>
  <c r="M29" i="5"/>
  <c r="M21" i="5"/>
  <c r="M13" i="5"/>
  <c r="M5" i="5"/>
  <c r="M22" i="5"/>
  <c r="M31" i="5"/>
  <c r="M23" i="5"/>
  <c r="M15" i="5"/>
  <c r="M7" i="5"/>
  <c r="M30" i="5"/>
  <c r="M14" i="5"/>
  <c r="M36" i="5"/>
  <c r="M28" i="5"/>
  <c r="M20" i="5"/>
  <c r="M12" i="5"/>
  <c r="M4" i="5"/>
  <c r="M35" i="5"/>
  <c r="M27" i="5"/>
  <c r="M19" i="5"/>
  <c r="M11" i="5"/>
  <c r="M3" i="5"/>
  <c r="M34" i="5"/>
  <c r="M26" i="5"/>
  <c r="M18" i="5"/>
  <c r="M10" i="5"/>
  <c r="M33" i="5"/>
  <c r="M25" i="5"/>
  <c r="M17" i="5"/>
  <c r="M9" i="5"/>
  <c r="M32" i="5"/>
  <c r="M24" i="5"/>
  <c r="M16" i="5"/>
  <c r="M8" i="5"/>
  <c r="E20" i="10"/>
  <c r="D8" i="10"/>
  <c r="D7" i="10"/>
  <c r="D5" i="10"/>
  <c r="Q8" i="9"/>
  <c r="X8" i="9"/>
  <c r="AE8" i="9"/>
  <c r="AL8" i="9"/>
  <c r="J8" i="9"/>
  <c r="C8" i="9"/>
  <c r="D4" i="10"/>
  <c r="AE52" i="6"/>
  <c r="AF43" i="6" s="1"/>
  <c r="Q32" i="6"/>
  <c r="X28" i="6"/>
  <c r="AL32" i="6"/>
  <c r="Q51" i="6"/>
  <c r="X52" i="6"/>
  <c r="Y39" i="6" s="1"/>
  <c r="J20" i="6"/>
  <c r="J22" i="6" s="1"/>
  <c r="X29" i="6"/>
  <c r="AL52" i="6"/>
  <c r="AM45" i="6" s="1"/>
  <c r="X51" i="6"/>
  <c r="Q52" i="6"/>
  <c r="R39" i="6" s="1"/>
  <c r="X30" i="6"/>
  <c r="AE8" i="6"/>
  <c r="AG6" i="6" s="1"/>
  <c r="AE28" i="6"/>
  <c r="AE51" i="6"/>
  <c r="J8" i="6"/>
  <c r="J10" i="6" s="1"/>
  <c r="K4" i="6" s="1"/>
  <c r="Q28" i="6"/>
  <c r="X32" i="6"/>
  <c r="AE29" i="6"/>
  <c r="AL51" i="6"/>
  <c r="J51" i="6"/>
  <c r="Q29" i="6"/>
  <c r="AL28" i="6"/>
  <c r="Q30" i="6"/>
  <c r="AE32" i="6"/>
  <c r="AL29" i="6"/>
  <c r="AL30" i="6"/>
  <c r="C28" i="6"/>
  <c r="AE30" i="6"/>
  <c r="J29" i="6"/>
  <c r="J30" i="6"/>
  <c r="J28" i="6"/>
  <c r="J32" i="6"/>
  <c r="J52" i="6"/>
  <c r="K46" i="6" s="1"/>
  <c r="AL20" i="6"/>
  <c r="AN18" i="6" s="1"/>
  <c r="AL8" i="6"/>
  <c r="AN4" i="6" s="1"/>
  <c r="AO4" i="6" s="1"/>
  <c r="AE20" i="6"/>
  <c r="C30" i="6"/>
  <c r="C29" i="6"/>
  <c r="X20" i="6"/>
  <c r="X22" i="6" s="1"/>
  <c r="Y21" i="6" s="1"/>
  <c r="X8" i="6"/>
  <c r="Z7" i="6" s="1"/>
  <c r="Q20" i="6"/>
  <c r="S16" i="6" s="1"/>
  <c r="T16" i="6" s="1"/>
  <c r="Q8" i="6"/>
  <c r="C52" i="6"/>
  <c r="P27" i="5"/>
  <c r="P28" i="5"/>
  <c r="P46" i="5"/>
  <c r="P29" i="5"/>
  <c r="P40" i="5"/>
  <c r="P41" i="5"/>
  <c r="P24" i="5"/>
  <c r="P42" i="5"/>
  <c r="P25" i="5"/>
  <c r="P43" i="5"/>
  <c r="P26" i="5"/>
  <c r="P44" i="5"/>
  <c r="P45" i="5"/>
  <c r="C32" i="6"/>
  <c r="C51" i="6"/>
  <c r="C8" i="6"/>
  <c r="C10" i="6" s="1"/>
  <c r="C20" i="6"/>
  <c r="C22" i="6" s="1"/>
  <c r="AT47" i="6" l="1"/>
  <c r="BO44" i="6"/>
  <c r="BO18" i="6"/>
  <c r="BO39" i="6"/>
  <c r="AT43" i="6"/>
  <c r="BO19" i="6"/>
  <c r="AT42" i="6"/>
  <c r="P47" i="5"/>
  <c r="Q36" i="5" s="1"/>
  <c r="R36" i="5" s="1"/>
  <c r="AT40" i="6"/>
  <c r="AT45" i="6"/>
  <c r="AS49" i="6"/>
  <c r="AS50" i="6" s="1"/>
  <c r="BQ17" i="6"/>
  <c r="AT41" i="6"/>
  <c r="BO17" i="6"/>
  <c r="BO48" i="6"/>
  <c r="BG49" i="6"/>
  <c r="AT48" i="6"/>
  <c r="BO51" i="6"/>
  <c r="AT39" i="6"/>
  <c r="AT51" i="6"/>
  <c r="BH30" i="6"/>
  <c r="BH28" i="6"/>
  <c r="AZ10" i="6"/>
  <c r="BB4" i="6"/>
  <c r="BB6" i="6"/>
  <c r="AU42" i="6"/>
  <c r="AU4" i="6"/>
  <c r="L17" i="6"/>
  <c r="AU41" i="6"/>
  <c r="AZ31" i="6"/>
  <c r="BB7" i="6"/>
  <c r="AZ49" i="6"/>
  <c r="BA45" i="6"/>
  <c r="BA47" i="6"/>
  <c r="BB5" i="6"/>
  <c r="BQ18" i="6"/>
  <c r="BQ19" i="6" s="1"/>
  <c r="V13" i="5"/>
  <c r="L18" i="6"/>
  <c r="BI29" i="6"/>
  <c r="AU44" i="6"/>
  <c r="L19" i="6"/>
  <c r="BI30" i="6"/>
  <c r="AU48" i="6"/>
  <c r="BH44" i="6"/>
  <c r="BH45" i="6"/>
  <c r="BH40" i="6"/>
  <c r="P30" i="5"/>
  <c r="Q19" i="5"/>
  <c r="R19" i="5" s="1"/>
  <c r="AT49" i="6"/>
  <c r="BO20" i="6"/>
  <c r="BO22" i="6" s="1"/>
  <c r="BA44" i="6"/>
  <c r="AU47" i="6"/>
  <c r="BH41" i="6"/>
  <c r="BH50" i="6" s="1"/>
  <c r="BH52" i="6" s="1"/>
  <c r="AS10" i="6"/>
  <c r="AU5" i="6"/>
  <c r="AU7" i="6"/>
  <c r="BG10" i="6"/>
  <c r="BI5" i="6"/>
  <c r="BI4" i="6"/>
  <c r="BI6" i="6"/>
  <c r="BI28" i="6"/>
  <c r="BI31" i="6" s="1"/>
  <c r="AU43" i="6"/>
  <c r="BA48" i="6"/>
  <c r="BO40" i="6"/>
  <c r="BO42" i="6"/>
  <c r="BO41" i="6"/>
  <c r="BO46" i="6"/>
  <c r="BO45" i="6"/>
  <c r="BN10" i="6"/>
  <c r="BP4" i="6"/>
  <c r="BP6" i="6"/>
  <c r="BO43" i="6"/>
  <c r="BC3" i="9"/>
  <c r="BJ3" i="9"/>
  <c r="BP4" i="9"/>
  <c r="BP5" i="9"/>
  <c r="BP6" i="9"/>
  <c r="BP3" i="9"/>
  <c r="BN12" i="9"/>
  <c r="BP7" i="9"/>
  <c r="BO49" i="6"/>
  <c r="BP49" i="6"/>
  <c r="BB5" i="9"/>
  <c r="BB6" i="9"/>
  <c r="AZ12" i="9"/>
  <c r="BB7" i="9"/>
  <c r="BB4" i="9"/>
  <c r="BB8" i="9" s="1"/>
  <c r="AU3" i="9"/>
  <c r="BN50" i="6"/>
  <c r="BG12" i="9"/>
  <c r="BI7" i="9"/>
  <c r="BI5" i="9"/>
  <c r="AS12" i="9"/>
  <c r="AU5" i="9"/>
  <c r="AU6" i="9"/>
  <c r="BI6" i="9"/>
  <c r="AU4" i="9"/>
  <c r="BI4" i="9"/>
  <c r="BI8" i="9" s="1"/>
  <c r="AT50" i="6"/>
  <c r="AT52" i="6" s="1"/>
  <c r="BN33" i="6"/>
  <c r="BP30" i="6"/>
  <c r="AS33" i="6"/>
  <c r="AU29" i="6"/>
  <c r="AU28" i="6"/>
  <c r="BH29" i="6"/>
  <c r="BP28" i="6"/>
  <c r="BA21" i="6"/>
  <c r="BA19" i="6"/>
  <c r="BA17" i="6"/>
  <c r="BA18" i="6"/>
  <c r="BA16" i="6"/>
  <c r="BB18" i="6"/>
  <c r="BB17" i="6"/>
  <c r="BB16" i="6"/>
  <c r="BI16" i="6"/>
  <c r="BG22" i="6"/>
  <c r="BI19" i="6"/>
  <c r="BB19" i="6"/>
  <c r="AU20" i="6"/>
  <c r="AV16" i="6"/>
  <c r="AV17" i="6" s="1"/>
  <c r="AT21" i="6"/>
  <c r="AT18" i="6"/>
  <c r="AT17" i="6"/>
  <c r="AT16" i="6"/>
  <c r="AT19" i="6"/>
  <c r="BI17" i="6"/>
  <c r="Z18" i="6"/>
  <c r="Z17" i="6"/>
  <c r="L16" i="6"/>
  <c r="M16" i="6" s="1"/>
  <c r="W19" i="5"/>
  <c r="Z19" i="6"/>
  <c r="Z16" i="6"/>
  <c r="AA16" i="6" s="1"/>
  <c r="AN19" i="6"/>
  <c r="AN17" i="6"/>
  <c r="AL22" i="6"/>
  <c r="AM16" i="6" s="1"/>
  <c r="V19" i="5"/>
  <c r="E9" i="10"/>
  <c r="F9" i="10" s="1"/>
  <c r="AL12" i="9"/>
  <c r="AE12" i="9"/>
  <c r="E8" i="10"/>
  <c r="F8" i="10" s="1"/>
  <c r="X12" i="9"/>
  <c r="E7" i="10"/>
  <c r="F7" i="10" s="1"/>
  <c r="C12" i="9"/>
  <c r="E4" i="10"/>
  <c r="F4" i="10" s="1"/>
  <c r="Q12" i="9"/>
  <c r="E6" i="10"/>
  <c r="F6" i="10" s="1"/>
  <c r="E5" i="10"/>
  <c r="F5" i="10" s="1"/>
  <c r="J12" i="9"/>
  <c r="AN16" i="6"/>
  <c r="AO16" i="6" s="1"/>
  <c r="Y44" i="6"/>
  <c r="AF46" i="6"/>
  <c r="AF40" i="6"/>
  <c r="AF39" i="6"/>
  <c r="Y48" i="6"/>
  <c r="AF51" i="6"/>
  <c r="Y46" i="6"/>
  <c r="AF45" i="6"/>
  <c r="Y43" i="6"/>
  <c r="AF44" i="6"/>
  <c r="AF48" i="6"/>
  <c r="AF42" i="6"/>
  <c r="AF47" i="6"/>
  <c r="AF41" i="6"/>
  <c r="Y40" i="6"/>
  <c r="Y45" i="6"/>
  <c r="X49" i="6"/>
  <c r="Y49" i="6" s="1"/>
  <c r="Y47" i="6"/>
  <c r="Y41" i="6"/>
  <c r="Y42" i="6"/>
  <c r="K19" i="6"/>
  <c r="K21" i="6"/>
  <c r="K16" i="6"/>
  <c r="K17" i="6"/>
  <c r="K18" i="6"/>
  <c r="L5" i="6"/>
  <c r="L6" i="6"/>
  <c r="L7" i="6"/>
  <c r="Y17" i="6"/>
  <c r="AL31" i="6"/>
  <c r="AN29" i="6" s="1"/>
  <c r="Y19" i="6"/>
  <c r="Y18" i="6"/>
  <c r="AG7" i="6"/>
  <c r="Y16" i="6"/>
  <c r="L4" i="6"/>
  <c r="M4" i="6" s="1"/>
  <c r="Z6" i="6"/>
  <c r="K48" i="6"/>
  <c r="R45" i="6"/>
  <c r="Q49" i="6"/>
  <c r="R49" i="6" s="1"/>
  <c r="AE49" i="6"/>
  <c r="AE50" i="6" s="1"/>
  <c r="AG40" i="6" s="1"/>
  <c r="AL49" i="6"/>
  <c r="AM49" i="6" s="1"/>
  <c r="AM44" i="6"/>
  <c r="AM43" i="6"/>
  <c r="R43" i="6"/>
  <c r="AM39" i="6"/>
  <c r="R42" i="6"/>
  <c r="AM40" i="6"/>
  <c r="R40" i="6"/>
  <c r="R44" i="6"/>
  <c r="AE31" i="6"/>
  <c r="AG30" i="6" s="1"/>
  <c r="R41" i="6"/>
  <c r="R51" i="6"/>
  <c r="R47" i="6"/>
  <c r="J49" i="6"/>
  <c r="J50" i="6" s="1"/>
  <c r="L41" i="6" s="1"/>
  <c r="R48" i="6"/>
  <c r="R46" i="6"/>
  <c r="X31" i="6"/>
  <c r="X33" i="6" s="1"/>
  <c r="Y28" i="6" s="1"/>
  <c r="AN7" i="6"/>
  <c r="AM51" i="6"/>
  <c r="AM48" i="6"/>
  <c r="Q31" i="6"/>
  <c r="Q33" i="6" s="1"/>
  <c r="R32" i="6" s="1"/>
  <c r="Z5" i="6"/>
  <c r="AN6" i="6"/>
  <c r="K39" i="6"/>
  <c r="K40" i="6"/>
  <c r="AM42" i="6"/>
  <c r="AG5" i="6"/>
  <c r="AE10" i="6"/>
  <c r="M17" i="6"/>
  <c r="L20" i="6"/>
  <c r="X10" i="6"/>
  <c r="Y5" i="6" s="1"/>
  <c r="AL10" i="6"/>
  <c r="AM7" i="6" s="1"/>
  <c r="K41" i="6"/>
  <c r="AM47" i="6"/>
  <c r="AM41" i="6"/>
  <c r="Y51" i="6"/>
  <c r="S5" i="6"/>
  <c r="Q10" i="6"/>
  <c r="Z4" i="6"/>
  <c r="AA4" i="6" s="1"/>
  <c r="C31" i="6"/>
  <c r="C33" i="6" s="1"/>
  <c r="AN5" i="6"/>
  <c r="AO5" i="6" s="1"/>
  <c r="U9" i="5" s="1"/>
  <c r="K45" i="6"/>
  <c r="AG4" i="6"/>
  <c r="AM46" i="6"/>
  <c r="K42" i="6"/>
  <c r="K44" i="6"/>
  <c r="K9" i="6"/>
  <c r="K47" i="6"/>
  <c r="K43" i="6"/>
  <c r="J31" i="6"/>
  <c r="J33" i="6" s="1"/>
  <c r="K29" i="6" s="1"/>
  <c r="K51" i="6"/>
  <c r="AG17" i="6"/>
  <c r="AE22" i="6"/>
  <c r="AG19" i="6"/>
  <c r="AG18" i="6"/>
  <c r="AG16" i="6"/>
  <c r="S17" i="6"/>
  <c r="T17" i="6" s="1"/>
  <c r="V6" i="5" s="1"/>
  <c r="Q22" i="6"/>
  <c r="S19" i="6"/>
  <c r="S18" i="6"/>
  <c r="S6" i="6"/>
  <c r="S7" i="6"/>
  <c r="S4" i="6"/>
  <c r="K5" i="6"/>
  <c r="K6" i="6"/>
  <c r="K7" i="6"/>
  <c r="E18" i="6"/>
  <c r="E19" i="6"/>
  <c r="E17" i="6"/>
  <c r="E16" i="6"/>
  <c r="E4" i="6"/>
  <c r="F4" i="6" s="1"/>
  <c r="E6" i="6"/>
  <c r="E5" i="6"/>
  <c r="E7" i="6"/>
  <c r="D5" i="6"/>
  <c r="D4" i="6"/>
  <c r="D9" i="6"/>
  <c r="D6" i="6"/>
  <c r="D7" i="6"/>
  <c r="Q46" i="5" l="1"/>
  <c r="Q38" i="5"/>
  <c r="BH31" i="6"/>
  <c r="BH33" i="6" s="1"/>
  <c r="AU46" i="6"/>
  <c r="AU39" i="6"/>
  <c r="AU45" i="6"/>
  <c r="AU40" i="6"/>
  <c r="BH49" i="6"/>
  <c r="BG50" i="6"/>
  <c r="Q39" i="5"/>
  <c r="Q37" i="5"/>
  <c r="R37" i="5" s="1"/>
  <c r="R38" i="5" s="1"/>
  <c r="R39" i="5" s="1"/>
  <c r="AU49" i="6"/>
  <c r="BC4" i="9"/>
  <c r="BC5" i="9" s="1"/>
  <c r="BC6" i="9" s="1"/>
  <c r="BC7" i="9" s="1"/>
  <c r="AV4" i="6"/>
  <c r="AV5" i="6" s="1"/>
  <c r="AU8" i="6"/>
  <c r="R20" i="5"/>
  <c r="AZ50" i="6"/>
  <c r="BA49" i="6"/>
  <c r="BA50" i="6" s="1"/>
  <c r="BA52" i="6" s="1"/>
  <c r="BB49" i="6"/>
  <c r="BI8" i="6"/>
  <c r="BJ4" i="6"/>
  <c r="BJ5" i="6" s="1"/>
  <c r="AZ33" i="6"/>
  <c r="BB30" i="6"/>
  <c r="BB29" i="6"/>
  <c r="BA9" i="6"/>
  <c r="BA5" i="6"/>
  <c r="BA4" i="6"/>
  <c r="BA7" i="6"/>
  <c r="BA6" i="6"/>
  <c r="BJ28" i="6"/>
  <c r="BJ29" i="6" s="1"/>
  <c r="BJ30" i="6" s="1"/>
  <c r="BB28" i="6"/>
  <c r="BC28" i="6" s="1"/>
  <c r="BQ4" i="6"/>
  <c r="BQ5" i="6" s="1"/>
  <c r="BP8" i="6"/>
  <c r="Q22" i="5"/>
  <c r="Q21" i="5"/>
  <c r="Q20" i="5"/>
  <c r="AV18" i="6"/>
  <c r="AV19" i="6" s="1"/>
  <c r="V10" i="5"/>
  <c r="BO50" i="6"/>
  <c r="BO52" i="6" s="1"/>
  <c r="BH9" i="6"/>
  <c r="BH6" i="6"/>
  <c r="BH4" i="6"/>
  <c r="BH5" i="6"/>
  <c r="BH7" i="6"/>
  <c r="AT4" i="6"/>
  <c r="AT7" i="6"/>
  <c r="AT5" i="6"/>
  <c r="AT9" i="6"/>
  <c r="AT6" i="6"/>
  <c r="BO9" i="6"/>
  <c r="BO5" i="6"/>
  <c r="BO4" i="6"/>
  <c r="BO7" i="6"/>
  <c r="BO6" i="6"/>
  <c r="Q26" i="5"/>
  <c r="BB8" i="6"/>
  <c r="BC4" i="6"/>
  <c r="BC5" i="6" s="1"/>
  <c r="AA17" i="6"/>
  <c r="V7" i="5" s="1"/>
  <c r="BA20" i="6"/>
  <c r="BQ3" i="9"/>
  <c r="BQ4" i="9" s="1"/>
  <c r="BQ5" i="9" s="1"/>
  <c r="BQ6" i="9" s="1"/>
  <c r="BQ7" i="9" s="1"/>
  <c r="BP8" i="9"/>
  <c r="AT9" i="9"/>
  <c r="AT6" i="9"/>
  <c r="AT7" i="9"/>
  <c r="AT10" i="9"/>
  <c r="AT11" i="9"/>
  <c r="AT3" i="9"/>
  <c r="AT4" i="9"/>
  <c r="AT5" i="9"/>
  <c r="BP42" i="6"/>
  <c r="BP44" i="6"/>
  <c r="BP40" i="6"/>
  <c r="BP43" i="6"/>
  <c r="BP39" i="6"/>
  <c r="BP47" i="6"/>
  <c r="BP45" i="6"/>
  <c r="BP48" i="6"/>
  <c r="BP41" i="6"/>
  <c r="BP46" i="6"/>
  <c r="BJ4" i="9"/>
  <c r="BJ5" i="9" s="1"/>
  <c r="BJ6" i="9" s="1"/>
  <c r="BJ7" i="9" s="1"/>
  <c r="BA11" i="9"/>
  <c r="BA7" i="9"/>
  <c r="BA4" i="9"/>
  <c r="BA10" i="9"/>
  <c r="BA5" i="9"/>
  <c r="BA6" i="9"/>
  <c r="BA9" i="9"/>
  <c r="BA3" i="9"/>
  <c r="AU8" i="9"/>
  <c r="AV3" i="9"/>
  <c r="AV4" i="9" s="1"/>
  <c r="AV5" i="9" s="1"/>
  <c r="AV6" i="9" s="1"/>
  <c r="AV7" i="9" s="1"/>
  <c r="BH9" i="9"/>
  <c r="BH6" i="9"/>
  <c r="BH10" i="9"/>
  <c r="BH7" i="9"/>
  <c r="BH11" i="9"/>
  <c r="BH4" i="9"/>
  <c r="BH3" i="9"/>
  <c r="BH5" i="9"/>
  <c r="BO7" i="9"/>
  <c r="BO4" i="9"/>
  <c r="BO6" i="9"/>
  <c r="BO9" i="9"/>
  <c r="BO5" i="9"/>
  <c r="BO11" i="9"/>
  <c r="BO3" i="9"/>
  <c r="BO10" i="9"/>
  <c r="BP31" i="6"/>
  <c r="BQ28" i="6"/>
  <c r="BQ29" i="6" s="1"/>
  <c r="BQ30" i="6" s="1"/>
  <c r="BO32" i="6"/>
  <c r="BO29" i="6"/>
  <c r="BO28" i="6"/>
  <c r="BO30" i="6"/>
  <c r="AU31" i="6"/>
  <c r="AV28" i="6"/>
  <c r="AV29" i="6" s="1"/>
  <c r="AV30" i="6" s="1"/>
  <c r="AT30" i="6"/>
  <c r="AT32" i="6"/>
  <c r="AT29" i="6"/>
  <c r="AT28" i="6"/>
  <c r="BC16" i="6"/>
  <c r="BC17" i="6" s="1"/>
  <c r="BB20" i="6"/>
  <c r="AT20" i="6"/>
  <c r="AT22" i="6" s="1"/>
  <c r="BH21" i="6"/>
  <c r="BH17" i="6"/>
  <c r="BH18" i="6"/>
  <c r="BH16" i="6"/>
  <c r="BH19" i="6"/>
  <c r="BJ16" i="6"/>
  <c r="BJ17" i="6" s="1"/>
  <c r="BI20" i="6"/>
  <c r="BA22" i="6"/>
  <c r="AA18" i="6"/>
  <c r="AA19" i="6" s="1"/>
  <c r="Z20" i="6"/>
  <c r="AO17" i="6"/>
  <c r="M18" i="6"/>
  <c r="M19" i="6" s="1"/>
  <c r="V5" i="5"/>
  <c r="AM19" i="6"/>
  <c r="M5" i="6"/>
  <c r="K20" i="6"/>
  <c r="K22" i="6" s="1"/>
  <c r="AM21" i="6"/>
  <c r="AM17" i="6"/>
  <c r="AN20" i="6"/>
  <c r="AM18" i="6"/>
  <c r="AN30" i="6"/>
  <c r="K30" i="6"/>
  <c r="Y50" i="6"/>
  <c r="Y52" i="6" s="1"/>
  <c r="X50" i="6"/>
  <c r="Z43" i="6" s="1"/>
  <c r="AN28" i="6"/>
  <c r="AO28" i="6" s="1"/>
  <c r="L8" i="6"/>
  <c r="AL33" i="6"/>
  <c r="AM32" i="6" s="1"/>
  <c r="Y20" i="6"/>
  <c r="Y22" i="6" s="1"/>
  <c r="AM4" i="6"/>
  <c r="Z8" i="6"/>
  <c r="AO6" i="6"/>
  <c r="AO7" i="6" s="1"/>
  <c r="Q50" i="6"/>
  <c r="S45" i="6" s="1"/>
  <c r="Y9" i="6"/>
  <c r="AM5" i="6"/>
  <c r="K49" i="6"/>
  <c r="K50" i="6" s="1"/>
  <c r="K52" i="6" s="1"/>
  <c r="AN8" i="6"/>
  <c r="Y6" i="6"/>
  <c r="Y4" i="6"/>
  <c r="AG46" i="6"/>
  <c r="AG49" i="6"/>
  <c r="AG44" i="6"/>
  <c r="AA5" i="6"/>
  <c r="AG43" i="6"/>
  <c r="AG47" i="6"/>
  <c r="AM9" i="6"/>
  <c r="L40" i="6"/>
  <c r="AG42" i="6"/>
  <c r="AM50" i="6"/>
  <c r="AM52" i="6" s="1"/>
  <c r="Z29" i="6"/>
  <c r="S30" i="6"/>
  <c r="AG48" i="6"/>
  <c r="L48" i="6"/>
  <c r="AG45" i="6"/>
  <c r="AG39" i="6"/>
  <c r="AH39" i="6" s="1"/>
  <c r="AH40" i="6" s="1"/>
  <c r="AF49" i="6"/>
  <c r="AF50" i="6" s="1"/>
  <c r="AF52" i="6" s="1"/>
  <c r="L46" i="6"/>
  <c r="AG41" i="6"/>
  <c r="Y29" i="6"/>
  <c r="R50" i="6"/>
  <c r="R52" i="6" s="1"/>
  <c r="Z30" i="6"/>
  <c r="Y32" i="6"/>
  <c r="L47" i="6"/>
  <c r="K32" i="6"/>
  <c r="K28" i="6"/>
  <c r="AL50" i="6"/>
  <c r="AN48" i="6" s="1"/>
  <c r="Z28" i="6"/>
  <c r="L39" i="6"/>
  <c r="M39" i="6" s="1"/>
  <c r="S29" i="6"/>
  <c r="L42" i="6"/>
  <c r="L44" i="6"/>
  <c r="AG29" i="6"/>
  <c r="AE33" i="6"/>
  <c r="R29" i="6"/>
  <c r="R28" i="6"/>
  <c r="R30" i="6"/>
  <c r="AG28" i="6"/>
  <c r="AH28" i="6" s="1"/>
  <c r="X8" i="5" s="1"/>
  <c r="L45" i="6"/>
  <c r="S28" i="6"/>
  <c r="T28" i="6" s="1"/>
  <c r="X6" i="5" s="1"/>
  <c r="L43" i="6"/>
  <c r="Y30" i="6"/>
  <c r="Q29" i="5"/>
  <c r="Y7" i="6"/>
  <c r="R9" i="6"/>
  <c r="R5" i="6"/>
  <c r="R7" i="6"/>
  <c r="R4" i="6"/>
  <c r="R6" i="6"/>
  <c r="AH4" i="6"/>
  <c r="AH5" i="6" s="1"/>
  <c r="AG8" i="6"/>
  <c r="AM6" i="6"/>
  <c r="AF4" i="6"/>
  <c r="AF9" i="6"/>
  <c r="AF5" i="6"/>
  <c r="AF7" i="6"/>
  <c r="AF6" i="6"/>
  <c r="L49" i="6"/>
  <c r="L29" i="6"/>
  <c r="L30" i="6"/>
  <c r="L28" i="6"/>
  <c r="AG20" i="6"/>
  <c r="AH16" i="6"/>
  <c r="AH17" i="6" s="1"/>
  <c r="AF18" i="6"/>
  <c r="AF17" i="6"/>
  <c r="AF21" i="6"/>
  <c r="AF19" i="6"/>
  <c r="AF16" i="6"/>
  <c r="T18" i="6"/>
  <c r="T19" i="6" s="1"/>
  <c r="S20" i="6"/>
  <c r="R18" i="6"/>
  <c r="R21" i="6"/>
  <c r="R17" i="6"/>
  <c r="R19" i="6"/>
  <c r="R16" i="6"/>
  <c r="S8" i="6"/>
  <c r="T4" i="6"/>
  <c r="T5" i="6" s="1"/>
  <c r="K8" i="6"/>
  <c r="K10" i="6" s="1"/>
  <c r="Q44" i="5"/>
  <c r="Q42" i="5"/>
  <c r="Q40" i="5"/>
  <c r="Q27" i="5"/>
  <c r="Q28" i="5"/>
  <c r="Q24" i="5"/>
  <c r="Q23" i="5"/>
  <c r="Q25" i="5"/>
  <c r="Q45" i="5"/>
  <c r="Q43" i="5"/>
  <c r="Q41" i="5"/>
  <c r="E20" i="6"/>
  <c r="F16" i="6"/>
  <c r="F17" i="6" s="1"/>
  <c r="D21" i="6"/>
  <c r="D18" i="6"/>
  <c r="D19" i="6"/>
  <c r="D16" i="6"/>
  <c r="D17" i="6"/>
  <c r="D8" i="6"/>
  <c r="D10" i="6" s="1"/>
  <c r="F5" i="6"/>
  <c r="E8" i="6"/>
  <c r="BC29" i="6" l="1"/>
  <c r="BC30" i="6" s="1"/>
  <c r="R40" i="5"/>
  <c r="AU50" i="6"/>
  <c r="AV39" i="6"/>
  <c r="AV40" i="6" s="1"/>
  <c r="AV41" i="6" s="1"/>
  <c r="AV42" i="6" s="1"/>
  <c r="AV43" i="6" s="1"/>
  <c r="AV44" i="6" s="1"/>
  <c r="AV45" i="6" s="1"/>
  <c r="AV46" i="6" s="1"/>
  <c r="AV47" i="6" s="1"/>
  <c r="AV48" i="6" s="1"/>
  <c r="AV49" i="6" s="1"/>
  <c r="BI49" i="6"/>
  <c r="BI45" i="6"/>
  <c r="BI39" i="6"/>
  <c r="BI42" i="6"/>
  <c r="BI43" i="6"/>
  <c r="BI40" i="6"/>
  <c r="BI44" i="6"/>
  <c r="BI48" i="6"/>
  <c r="BI46" i="6"/>
  <c r="BI41" i="6"/>
  <c r="BI47" i="6"/>
  <c r="R21" i="5"/>
  <c r="R22" i="5" s="1"/>
  <c r="R23" i="5" s="1"/>
  <c r="R24" i="5" s="1"/>
  <c r="R25" i="5" s="1"/>
  <c r="R26" i="5" s="1"/>
  <c r="R27" i="5" s="1"/>
  <c r="R28" i="5" s="1"/>
  <c r="R29" i="5" s="1"/>
  <c r="BO8" i="9"/>
  <c r="BO12" i="9" s="1"/>
  <c r="AT8" i="9"/>
  <c r="AT12" i="9" s="1"/>
  <c r="BC6" i="6"/>
  <c r="BC7" i="6" s="1"/>
  <c r="U11" i="5"/>
  <c r="BA8" i="6"/>
  <c r="BA10" i="6"/>
  <c r="BB40" i="6"/>
  <c r="BB39" i="6"/>
  <c r="BB43" i="6"/>
  <c r="BB44" i="6"/>
  <c r="BB47" i="6"/>
  <c r="BB42" i="6"/>
  <c r="BB46" i="6"/>
  <c r="BB41" i="6"/>
  <c r="BB45" i="6"/>
  <c r="BB48" i="6"/>
  <c r="BJ18" i="6"/>
  <c r="BJ19" i="6" s="1"/>
  <c r="V12" i="5"/>
  <c r="BC18" i="6"/>
  <c r="BC19" i="6" s="1"/>
  <c r="V11" i="5"/>
  <c r="AT8" i="6"/>
  <c r="AT10" i="6" s="1"/>
  <c r="AT31" i="6"/>
  <c r="AT33" i="6" s="1"/>
  <c r="BO8" i="6"/>
  <c r="BO10" i="6" s="1"/>
  <c r="BA32" i="6"/>
  <c r="BA29" i="6"/>
  <c r="BA28" i="6"/>
  <c r="BA30" i="6"/>
  <c r="U10" i="5"/>
  <c r="W10" i="5" s="1"/>
  <c r="AV6" i="6"/>
  <c r="AV7" i="6" s="1"/>
  <c r="BQ6" i="6"/>
  <c r="BQ7" i="6" s="1"/>
  <c r="U13" i="5"/>
  <c r="W13" i="5" s="1"/>
  <c r="BB31" i="6"/>
  <c r="BH8" i="6"/>
  <c r="BH10" i="6" s="1"/>
  <c r="U12" i="5"/>
  <c r="BJ6" i="6"/>
  <c r="BJ7" i="6" s="1"/>
  <c r="BH8" i="9"/>
  <c r="BH12" i="9" s="1"/>
  <c r="BA8" i="9"/>
  <c r="BA12" i="9" s="1"/>
  <c r="BQ39" i="6"/>
  <c r="BQ40" i="6" s="1"/>
  <c r="BQ41" i="6" s="1"/>
  <c r="BQ42" i="6" s="1"/>
  <c r="BQ43" i="6" s="1"/>
  <c r="BQ44" i="6" s="1"/>
  <c r="BP50" i="6"/>
  <c r="BO31" i="6"/>
  <c r="BO33" i="6" s="1"/>
  <c r="BH20" i="6"/>
  <c r="BH22" i="6"/>
  <c r="AM20" i="6"/>
  <c r="AM22" i="6" s="1"/>
  <c r="AH6" i="6"/>
  <c r="AH7" i="6" s="1"/>
  <c r="U8" i="5"/>
  <c r="AH18" i="6"/>
  <c r="AH19" i="6" s="1"/>
  <c r="V8" i="5"/>
  <c r="AA6" i="6"/>
  <c r="AA7" i="6" s="1"/>
  <c r="U7" i="5"/>
  <c r="W7" i="5" s="1"/>
  <c r="AO18" i="6"/>
  <c r="AO19" i="6" s="1"/>
  <c r="V9" i="5"/>
  <c r="W9" i="5" s="1"/>
  <c r="T6" i="6"/>
  <c r="T7" i="6" s="1"/>
  <c r="U6" i="5"/>
  <c r="W6" i="5" s="1"/>
  <c r="M6" i="6"/>
  <c r="M7" i="6" s="1"/>
  <c r="U5" i="5"/>
  <c r="W5" i="5" s="1"/>
  <c r="AO29" i="6"/>
  <c r="AO30" i="6" s="1"/>
  <c r="X9" i="5"/>
  <c r="K31" i="6"/>
  <c r="K33" i="6" s="1"/>
  <c r="Z42" i="6"/>
  <c r="Z40" i="6"/>
  <c r="Z39" i="6"/>
  <c r="AA39" i="6" s="1"/>
  <c r="Z41" i="6"/>
  <c r="Z47" i="6"/>
  <c r="Z44" i="6"/>
  <c r="AM29" i="6"/>
  <c r="AN39" i="6"/>
  <c r="AO39" i="6" s="1"/>
  <c r="Z46" i="6"/>
  <c r="AN31" i="6"/>
  <c r="Z48" i="6"/>
  <c r="Z49" i="6"/>
  <c r="Z45" i="6"/>
  <c r="AN46" i="6"/>
  <c r="AM28" i="6"/>
  <c r="AN42" i="6"/>
  <c r="AM30" i="6"/>
  <c r="AH41" i="6"/>
  <c r="AH42" i="6" s="1"/>
  <c r="AH43" i="6" s="1"/>
  <c r="AH44" i="6" s="1"/>
  <c r="AH45" i="6" s="1"/>
  <c r="AH46" i="6" s="1"/>
  <c r="AH47" i="6" s="1"/>
  <c r="AH48" i="6" s="1"/>
  <c r="AH49" i="6" s="1"/>
  <c r="M40" i="6"/>
  <c r="M41" i="6" s="1"/>
  <c r="M42" i="6" s="1"/>
  <c r="M43" i="6" s="1"/>
  <c r="M44" i="6" s="1"/>
  <c r="M45" i="6" s="1"/>
  <c r="M46" i="6" s="1"/>
  <c r="M47" i="6" s="1"/>
  <c r="M48" i="6" s="1"/>
  <c r="M49" i="6" s="1"/>
  <c r="S46" i="6"/>
  <c r="S43" i="6"/>
  <c r="S47" i="6"/>
  <c r="S39" i="6"/>
  <c r="T39" i="6" s="1"/>
  <c r="S42" i="6"/>
  <c r="S49" i="6"/>
  <c r="S44" i="6"/>
  <c r="S41" i="6"/>
  <c r="S48" i="6"/>
  <c r="S40" i="6"/>
  <c r="AM8" i="6"/>
  <c r="AM10" i="6" s="1"/>
  <c r="AG50" i="6"/>
  <c r="AN49" i="6"/>
  <c r="Y8" i="6"/>
  <c r="Y10" i="6" s="1"/>
  <c r="F6" i="6"/>
  <c r="F7" i="6" s="1"/>
  <c r="U4" i="5"/>
  <c r="AN40" i="6"/>
  <c r="R8" i="6"/>
  <c r="R10" i="6" s="1"/>
  <c r="AN43" i="6"/>
  <c r="AN45" i="6"/>
  <c r="F18" i="6"/>
  <c r="F19" i="6" s="1"/>
  <c r="V4" i="5"/>
  <c r="AN47" i="6"/>
  <c r="Z31" i="6"/>
  <c r="AN41" i="6"/>
  <c r="AN44" i="6"/>
  <c r="Y31" i="6"/>
  <c r="Y33" i="6" s="1"/>
  <c r="T29" i="6"/>
  <c r="T30" i="6" s="1"/>
  <c r="AG31" i="6"/>
  <c r="AA28" i="6"/>
  <c r="AH29" i="6"/>
  <c r="AH30" i="6" s="1"/>
  <c r="S31" i="6"/>
  <c r="L50" i="6"/>
  <c r="AF32" i="6"/>
  <c r="AF28" i="6"/>
  <c r="AF29" i="6"/>
  <c r="AF30" i="6"/>
  <c r="R31" i="6"/>
  <c r="R33" i="6" s="1"/>
  <c r="AF8" i="6"/>
  <c r="AF10" i="6" s="1"/>
  <c r="R20" i="6"/>
  <c r="R22" i="6" s="1"/>
  <c r="M28" i="6"/>
  <c r="L31" i="6"/>
  <c r="AF20" i="6"/>
  <c r="AF22" i="6" s="1"/>
  <c r="Q30" i="5"/>
  <c r="R41" i="5"/>
  <c r="R42" i="5" s="1"/>
  <c r="R43" i="5" s="1"/>
  <c r="R44" i="5" s="1"/>
  <c r="R45" i="5" s="1"/>
  <c r="R46" i="5" s="1"/>
  <c r="Q47" i="5"/>
  <c r="E29" i="6"/>
  <c r="C49" i="6"/>
  <c r="D20" i="6"/>
  <c r="D22" i="6" s="1"/>
  <c r="E30" i="6"/>
  <c r="E28" i="6"/>
  <c r="W11" i="5" l="1"/>
  <c r="BJ39" i="6"/>
  <c r="BJ40" i="6" s="1"/>
  <c r="BJ41" i="6" s="1"/>
  <c r="BJ42" i="6" s="1"/>
  <c r="BJ43" i="6" s="1"/>
  <c r="BJ44" i="6" s="1"/>
  <c r="BI50" i="6"/>
  <c r="X10" i="5"/>
  <c r="BB50" i="6"/>
  <c r="BC39" i="6"/>
  <c r="BC40" i="6" s="1"/>
  <c r="BC41" i="6" s="1"/>
  <c r="BC42" i="6" s="1"/>
  <c r="BC43" i="6" s="1"/>
  <c r="BC44" i="6" s="1"/>
  <c r="BA31" i="6"/>
  <c r="BA33" i="6" s="1"/>
  <c r="W8" i="5"/>
  <c r="W12" i="5"/>
  <c r="BQ45" i="6"/>
  <c r="BQ46" i="6" s="1"/>
  <c r="BQ47" i="6" s="1"/>
  <c r="BQ48" i="6" s="1"/>
  <c r="BQ49" i="6" s="1"/>
  <c r="X13" i="5"/>
  <c r="AA40" i="6"/>
  <c r="AA41" i="6" s="1"/>
  <c r="AA42" i="6" s="1"/>
  <c r="AA43" i="6" s="1"/>
  <c r="AA44" i="6" s="1"/>
  <c r="AA45" i="6" s="1"/>
  <c r="AA46" i="6" s="1"/>
  <c r="AA47" i="6" s="1"/>
  <c r="AA48" i="6" s="1"/>
  <c r="AA49" i="6" s="1"/>
  <c r="AA29" i="6"/>
  <c r="AA30" i="6" s="1"/>
  <c r="X7" i="5"/>
  <c r="M29" i="6"/>
  <c r="M30" i="6" s="1"/>
  <c r="X5" i="5"/>
  <c r="Z50" i="6"/>
  <c r="AO40" i="6"/>
  <c r="AO41" i="6" s="1"/>
  <c r="AO42" i="6" s="1"/>
  <c r="AO43" i="6" s="1"/>
  <c r="AO44" i="6" s="1"/>
  <c r="AO45" i="6" s="1"/>
  <c r="AO46" i="6" s="1"/>
  <c r="AO47" i="6" s="1"/>
  <c r="AO48" i="6" s="1"/>
  <c r="AO49" i="6" s="1"/>
  <c r="AM31" i="6"/>
  <c r="AM33" i="6" s="1"/>
  <c r="T40" i="6"/>
  <c r="T41" i="6" s="1"/>
  <c r="T42" i="6" s="1"/>
  <c r="T43" i="6" s="1"/>
  <c r="T44" i="6" s="1"/>
  <c r="T45" i="6" s="1"/>
  <c r="T46" i="6" s="1"/>
  <c r="T47" i="6" s="1"/>
  <c r="T48" i="6" s="1"/>
  <c r="T49" i="6" s="1"/>
  <c r="S50" i="6"/>
  <c r="AN50" i="6"/>
  <c r="W4" i="5"/>
  <c r="AF31" i="6"/>
  <c r="AF33" i="6" s="1"/>
  <c r="C50" i="6"/>
  <c r="E49" i="6" s="1"/>
  <c r="D49" i="6"/>
  <c r="D51" i="6"/>
  <c r="D47" i="6"/>
  <c r="D39" i="6"/>
  <c r="D43" i="6"/>
  <c r="D40" i="6"/>
  <c r="D44" i="6"/>
  <c r="D46" i="6"/>
  <c r="D42" i="6"/>
  <c r="D41" i="6"/>
  <c r="D48" i="6"/>
  <c r="D45" i="6"/>
  <c r="F28" i="6"/>
  <c r="F29" i="6" s="1"/>
  <c r="F30" i="6" s="1"/>
  <c r="E31" i="6"/>
  <c r="D32" i="6"/>
  <c r="D29" i="6"/>
  <c r="D30" i="6"/>
  <c r="D28" i="6"/>
  <c r="X12" i="5" l="1"/>
  <c r="BJ45" i="6"/>
  <c r="BJ46" i="6" s="1"/>
  <c r="BJ47" i="6" s="1"/>
  <c r="BJ48" i="6" s="1"/>
  <c r="BJ49" i="6" s="1"/>
  <c r="BC45" i="6"/>
  <c r="BC46" i="6" s="1"/>
  <c r="BC47" i="6" s="1"/>
  <c r="BC48" i="6" s="1"/>
  <c r="BC49" i="6" s="1"/>
  <c r="X11" i="5"/>
  <c r="D50" i="6"/>
  <c r="D52" i="6" s="1"/>
  <c r="D31" i="6"/>
  <c r="D33" i="6" s="1"/>
  <c r="E45" i="6"/>
  <c r="E41" i="6"/>
  <c r="E48" i="6"/>
  <c r="E40" i="6"/>
  <c r="E39" i="6"/>
  <c r="F39" i="6" s="1"/>
  <c r="E42" i="6"/>
  <c r="E44" i="6"/>
  <c r="E43" i="6"/>
  <c r="E46" i="6"/>
  <c r="E47" i="6"/>
  <c r="F40" i="6" l="1"/>
  <c r="F41" i="6" s="1"/>
  <c r="F42" i="6" s="1"/>
  <c r="F43" i="6" s="1"/>
  <c r="F44" i="6" s="1"/>
  <c r="E50" i="6"/>
  <c r="F45" i="6" l="1"/>
  <c r="F46" i="6" s="1"/>
  <c r="F47" i="6" s="1"/>
  <c r="F48" i="6" s="1"/>
  <c r="F49" i="6" s="1"/>
  <c r="X4" i="5"/>
  <c r="E3" i="9"/>
  <c r="E5" i="9"/>
  <c r="E6" i="9"/>
  <c r="E7" i="9"/>
  <c r="E4" i="9"/>
  <c r="D11" i="9"/>
  <c r="D3" i="9"/>
  <c r="F3" i="9" l="1"/>
  <c r="E8" i="9"/>
  <c r="F4" i="9"/>
  <c r="F5" i="9" s="1"/>
  <c r="F6" i="9" s="1"/>
  <c r="F7" i="9" s="1"/>
  <c r="D6" i="9"/>
  <c r="D5" i="9"/>
  <c r="D9" i="9"/>
  <c r="D10" i="9"/>
  <c r="D7" i="9"/>
  <c r="D4" i="9"/>
  <c r="K3" i="9"/>
  <c r="L3" i="9"/>
  <c r="K11" i="9"/>
  <c r="K7" i="9"/>
  <c r="K10" i="9"/>
  <c r="K9" i="9"/>
  <c r="K5" i="9"/>
  <c r="K4" i="9"/>
  <c r="K6" i="9"/>
  <c r="L5" i="9"/>
  <c r="L4" i="9"/>
  <c r="L7" i="9"/>
  <c r="L6" i="9"/>
  <c r="M3" i="9" l="1"/>
  <c r="L8" i="9"/>
  <c r="K8" i="9"/>
  <c r="K12" i="9" s="1"/>
  <c r="D8" i="9"/>
  <c r="D12" i="9" s="1"/>
  <c r="M4" i="9"/>
  <c r="M5" i="9" s="1"/>
  <c r="M6" i="9" s="1"/>
  <c r="M7" i="9" s="1"/>
  <c r="R3" i="9"/>
  <c r="S3" i="9"/>
  <c r="S4" i="9"/>
  <c r="S5" i="9"/>
  <c r="S6" i="9"/>
  <c r="S7" i="9"/>
  <c r="R6" i="9"/>
  <c r="R5" i="9"/>
  <c r="R7" i="9"/>
  <c r="R4" i="9"/>
  <c r="R9" i="9"/>
  <c r="R11" i="9"/>
  <c r="T3" i="9" l="1"/>
  <c r="S8" i="9"/>
  <c r="R8" i="9"/>
  <c r="T4" i="9"/>
  <c r="T5" i="9" s="1"/>
  <c r="T6" i="9" s="1"/>
  <c r="T7" i="9" s="1"/>
  <c r="R10" i="9"/>
  <c r="Y3" i="9"/>
  <c r="Z7" i="9"/>
  <c r="Z5" i="9"/>
  <c r="Z4" i="9"/>
  <c r="Z6" i="9"/>
  <c r="Y4" i="9"/>
  <c r="Y6" i="9"/>
  <c r="Y10" i="9"/>
  <c r="Y11" i="9"/>
  <c r="Y7" i="9"/>
  <c r="Y5" i="9"/>
  <c r="Z3" i="9"/>
  <c r="Y8" i="9" l="1"/>
  <c r="R12" i="9"/>
  <c r="AA3" i="9"/>
  <c r="AA4" i="9" s="1"/>
  <c r="Z8" i="9"/>
  <c r="AA5" i="9"/>
  <c r="AA6" i="9" s="1"/>
  <c r="AA7" i="9" s="1"/>
  <c r="Y9" i="9"/>
  <c r="AG3" i="9"/>
  <c r="AF10" i="9"/>
  <c r="AF4" i="9"/>
  <c r="AF5" i="9"/>
  <c r="AF9" i="9"/>
  <c r="AG7" i="9"/>
  <c r="AG4" i="9"/>
  <c r="AG5" i="9"/>
  <c r="AG6" i="9"/>
  <c r="AH3" i="9" l="1"/>
  <c r="AG8" i="9"/>
  <c r="Y12" i="9"/>
  <c r="AH4" i="9"/>
  <c r="AH5" i="9" s="1"/>
  <c r="AH6" i="9" s="1"/>
  <c r="AH7" i="9" s="1"/>
  <c r="AF6" i="9"/>
  <c r="AF7" i="9"/>
  <c r="AF11" i="9"/>
  <c r="AF3" i="9"/>
  <c r="AF8" i="9" s="1"/>
  <c r="AF12" i="9" s="1"/>
  <c r="AN3" i="9"/>
  <c r="AM7" i="9"/>
  <c r="AM10" i="9"/>
  <c r="AM4" i="9"/>
  <c r="AM5" i="9"/>
  <c r="AN5" i="9"/>
  <c r="AN7" i="9"/>
  <c r="AN4" i="9"/>
  <c r="AN6" i="9"/>
  <c r="AO3" i="9" l="1"/>
  <c r="AN8" i="9"/>
  <c r="AO4" i="9"/>
  <c r="AO5" i="9" s="1"/>
  <c r="AO6" i="9" s="1"/>
  <c r="AO7" i="9" s="1"/>
  <c r="AM11" i="9"/>
  <c r="AM9" i="9"/>
  <c r="AM6" i="9"/>
  <c r="AM3" i="9"/>
  <c r="AM8" i="9" s="1"/>
  <c r="AM12" i="9" s="1"/>
</calcChain>
</file>

<file path=xl/sharedStrings.xml><?xml version="1.0" encoding="utf-8"?>
<sst xmlns="http://schemas.openxmlformats.org/spreadsheetml/2006/main" count="3967" uniqueCount="139">
  <si>
    <t>Variable Name</t>
  </si>
  <si>
    <t>Values</t>
  </si>
  <si>
    <t>Notes</t>
  </si>
  <si>
    <t>Poor</t>
  </si>
  <si>
    <t>When updating the spreadsheet, replace "NA" with gathered data.</t>
  </si>
  <si>
    <t>Fair</t>
  </si>
  <si>
    <t xml:space="preserve">If a participant did not fill out a response to a question, but a survey was collected, leave the corresponding field blank. </t>
  </si>
  <si>
    <t>Good</t>
  </si>
  <si>
    <t>Please do not edit any formulas in other sheets. Thanks!</t>
  </si>
  <si>
    <t>Excellent</t>
  </si>
  <si>
    <t>BEFORE - Item 1A</t>
  </si>
  <si>
    <t>AFTER - Item 1A</t>
  </si>
  <si>
    <t>BEFORE - Item 1B</t>
  </si>
  <si>
    <t>AFTER - Item 1B</t>
  </si>
  <si>
    <t>BEFORE - Item 1C</t>
  </si>
  <si>
    <t>AFTER -Item 1C</t>
  </si>
  <si>
    <t>BEFORE - Item 1D</t>
  </si>
  <si>
    <t>AFTER - Item 1D</t>
  </si>
  <si>
    <t>BEFORE - Item 1E</t>
  </si>
  <si>
    <t>AFTER - Item 1E</t>
  </si>
  <si>
    <t>BEFORE- Item 1F</t>
  </si>
  <si>
    <t>AFTER- Item 1F</t>
  </si>
  <si>
    <t>NA</t>
  </si>
  <si>
    <t>Change in Means</t>
  </si>
  <si>
    <t># of Q1 Items at Good or Excellent</t>
  </si>
  <si>
    <t>Knowledge</t>
  </si>
  <si>
    <t>Means for Understanding- Before and After</t>
  </si>
  <si>
    <t>% at Good/Excellent, % with any increase in understanding</t>
  </si>
  <si>
    <t>Item 1A</t>
  </si>
  <si>
    <t>Item 1B</t>
  </si>
  <si>
    <t>Item 1C</t>
  </si>
  <si>
    <t>Item 1D</t>
  </si>
  <si>
    <t>Item 1E</t>
  </si>
  <si>
    <t>Item 1F</t>
  </si>
  <si>
    <t>Pre</t>
  </si>
  <si>
    <t>Post</t>
  </si>
  <si>
    <t>Increased in Understanding</t>
  </si>
  <si>
    <t xml:space="preserve">Understanding of... </t>
  </si>
  <si>
    <t>Mean Before</t>
  </si>
  <si>
    <t>Mean After</t>
  </si>
  <si>
    <t>Percent Change</t>
  </si>
  <si>
    <t>Program Content</t>
  </si>
  <si>
    <t>% At Good or 
Excellent (Pre)</t>
  </si>
  <si>
    <t>% At Good or 
Excellent (Post)</t>
  </si>
  <si>
    <t>% Point Difference</t>
  </si>
  <si>
    <t>% with any Increase in Understanding</t>
  </si>
  <si>
    <t>Percent Change = ((Post Mean - Pre Mean) / 3) * 100</t>
  </si>
  <si>
    <t># of Q1 Items at Good or Excellent (Pre)</t>
  </si>
  <si>
    <t>Macro Measures (Increased Understanding)</t>
  </si>
  <si>
    <t>Frequency</t>
  </si>
  <si>
    <t>Valid Percent</t>
  </si>
  <si>
    <t>Cumulative Percent</t>
  </si>
  <si>
    <t>Number of Participants</t>
  </si>
  <si>
    <t>% of Participants</t>
  </si>
  <si>
    <t>Knowledge: Participants who Increased in Understanding on at Least One Program Item</t>
  </si>
  <si>
    <t xml:space="preserve">Total </t>
  </si>
  <si>
    <t># of Q1 Items at Good or Excellent (Post)</t>
  </si>
  <si>
    <t>Change in Understanding: Item 1A</t>
  </si>
  <si>
    <t>Change in Understanding: Item 1B</t>
  </si>
  <si>
    <t>Change in Understanding: Item 1C</t>
  </si>
  <si>
    <t>Change in Understanding: Item 1D</t>
  </si>
  <si>
    <t>Change in Understanding: Item 1E</t>
  </si>
  <si>
    <t>Change in Understanding: Item 1F</t>
  </si>
  <si>
    <t>Before Understanding (Pre)</t>
  </si>
  <si>
    <t>Percent</t>
  </si>
  <si>
    <t>Valid</t>
  </si>
  <si>
    <t>Total</t>
  </si>
  <si>
    <t xml:space="preserve">Missing </t>
  </si>
  <si>
    <t>System</t>
  </si>
  <si>
    <t>After Understanding (Post)</t>
  </si>
  <si>
    <t xml:space="preserve">Change in Understanding </t>
  </si>
  <si>
    <t>Positive</t>
  </si>
  <si>
    <t>No Change</t>
  </si>
  <si>
    <t>Negative</t>
  </si>
  <si>
    <t>Before vs After Responses</t>
  </si>
  <si>
    <t>Good to Excellent</t>
  </si>
  <si>
    <t>Fair to Excellent</t>
  </si>
  <si>
    <t>Fair to Good</t>
  </si>
  <si>
    <t>Poor to Excellent</t>
  </si>
  <si>
    <t>Poor to Good</t>
  </si>
  <si>
    <t>Poor to Fair</t>
  </si>
  <si>
    <t>Excellent (Unchanged)</t>
  </si>
  <si>
    <t>Good (Unchanged)</t>
  </si>
  <si>
    <t>Fair (Unchanged)</t>
  </si>
  <si>
    <t>Poor (Unchanged)</t>
  </si>
  <si>
    <t>Decrease in Understanding</t>
  </si>
  <si>
    <t>Definitely Will Not</t>
  </si>
  <si>
    <t>Probably Will Not</t>
  </si>
  <si>
    <t>Undecided</t>
  </si>
  <si>
    <t>Probably Will</t>
  </si>
  <si>
    <t>Definitely Will</t>
  </si>
  <si>
    <t>Already Adopted</t>
  </si>
  <si>
    <t>Not Applicable</t>
  </si>
  <si>
    <t>Item 2A</t>
  </si>
  <si>
    <t>Item 2B</t>
  </si>
  <si>
    <t>Item 2C</t>
  </si>
  <si>
    <t>Item 2D</t>
  </si>
  <si>
    <t>Item 2E</t>
  </si>
  <si>
    <t>Item 2F</t>
  </si>
  <si>
    <t>Behavior Change</t>
  </si>
  <si>
    <t>Client Change: Intentions to Adopt</t>
  </si>
  <si>
    <t>Practice or Technology that could be Adopted</t>
  </si>
  <si>
    <t>Number who Probably or Definitely Will Adopt</t>
  </si>
  <si>
    <t>Number who could Adopt*</t>
  </si>
  <si>
    <t>% who Probably or Definitely 
Will Adopt</t>
  </si>
  <si>
    <t>*Excludes "Not Applicable" or "Already Adopted"</t>
  </si>
  <si>
    <t>Macro Measures (Behavior Change)</t>
  </si>
  <si>
    <t>Intended Behavior: Participants who Plan to Adopt at Least One Practice and/or Technology</t>
  </si>
  <si>
    <t>Intentions to Adopt: Item 2A</t>
  </si>
  <si>
    <t>Intentions to Adopt: Item 2B</t>
  </si>
  <si>
    <t>Intentions to Adopt: Item 2C</t>
  </si>
  <si>
    <t>Intentions to Adopt: Item 2D</t>
  </si>
  <si>
    <t>Intentions to Adopt: Item 2E</t>
  </si>
  <si>
    <t>Intentions to Adopt: Item 2F</t>
  </si>
  <si>
    <t>Input data in the corresponding before and after columns for each item</t>
  </si>
  <si>
    <t>BEFORE - Item 1G</t>
  </si>
  <si>
    <t>AFTER -Item 1G</t>
  </si>
  <si>
    <t>BEFORE - Item 1H</t>
  </si>
  <si>
    <t>AFTER - Item 1H</t>
  </si>
  <si>
    <t>BEFORE - Item 1I</t>
  </si>
  <si>
    <t>AFTER - Item 1I</t>
  </si>
  <si>
    <t>BEFORE- Item 1J</t>
  </si>
  <si>
    <t>AFTER- Item 1J</t>
  </si>
  <si>
    <t>Item 1G</t>
  </si>
  <si>
    <t>Item 1H</t>
  </si>
  <si>
    <t>Item 1I</t>
  </si>
  <si>
    <t>Item 1J</t>
  </si>
  <si>
    <t>Change in Understanding: Item 1G</t>
  </si>
  <si>
    <t>Change in Understanding: Item 1H</t>
  </si>
  <si>
    <t>Change in Understanding: Item 1I</t>
  </si>
  <si>
    <t>Change in Understanding: Item 1J</t>
  </si>
  <si>
    <t>Item 2G</t>
  </si>
  <si>
    <t>Item 2H</t>
  </si>
  <si>
    <t>Item 2I</t>
  </si>
  <si>
    <t>Item 2J</t>
  </si>
  <si>
    <t>Intentions to Adopt: Item 2G</t>
  </si>
  <si>
    <t>Intentions to Adopt: Item 2H</t>
  </si>
  <si>
    <t>Intentions to Adopt: Item 2I</t>
  </si>
  <si>
    <t>Intentions to Adopt: Item 2J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</si>
</sst>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0.0"/>
    <numFmt numFmtId="165" formatCode="0.0%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u/>
      <sz val="14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B0F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b/>
      <u/>
      <sz val="11"/>
      <color theme="1"/>
      <name val="Calibri (Body)"/>
    </font>
    <font>
      <b/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00206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theme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theme="1"/>
      </bottom>
      <diagonal/>
    </border>
    <border>
      <left style="thin">
        <color theme="0"/>
      </left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62">
    <xf numFmtId="0" fontId="0" fillId="0" borderId="0" xfId="0"/>
    <xf numFmtId="0" fontId="0" fillId="0" borderId="0" xfId="0" applyAlignment="1">
      <alignment horizontal="center"/>
    </xf>
    <xf numFmtId="10" fontId="0" fillId="0" borderId="0" xfId="0" applyNumberFormat="1"/>
    <xf numFmtId="0" fontId="3" fillId="0" borderId="0" xfId="0" applyFont="1" applyAlignment="1">
      <alignment horizontal="center"/>
    </xf>
    <xf numFmtId="9" fontId="0" fillId="0" borderId="0" xfId="1" applyFont="1"/>
    <xf numFmtId="10" fontId="0" fillId="0" borderId="0" xfId="1" applyNumberFormat="1" applyFont="1"/>
    <xf numFmtId="0" fontId="6" fillId="0" borderId="0" xfId="0" applyFont="1"/>
    <xf numFmtId="0" fontId="7" fillId="0" borderId="0" xfId="0" applyFont="1"/>
    <xf numFmtId="2" fontId="0" fillId="0" borderId="0" xfId="0" applyNumberFormat="1"/>
    <xf numFmtId="2" fontId="7" fillId="0" borderId="0" xfId="0" applyNumberFormat="1" applyFont="1"/>
    <xf numFmtId="0" fontId="0" fillId="0" borderId="3" xfId="0" applyBorder="1"/>
    <xf numFmtId="0" fontId="0" fillId="0" borderId="0" xfId="0" applyAlignment="1">
      <alignment horizontal="left"/>
    </xf>
    <xf numFmtId="0" fontId="0" fillId="0" borderId="4" xfId="0" applyBorder="1"/>
    <xf numFmtId="0" fontId="0" fillId="0" borderId="4" xfId="0" applyBorder="1" applyAlignment="1">
      <alignment horizontal="left"/>
    </xf>
    <xf numFmtId="10" fontId="0" fillId="0" borderId="0" xfId="1" applyNumberFormat="1" applyFont="1" applyBorder="1"/>
    <xf numFmtId="9" fontId="0" fillId="0" borderId="0" xfId="1" applyFont="1" applyBorder="1"/>
    <xf numFmtId="10" fontId="8" fillId="0" borderId="0" xfId="0" applyNumberFormat="1" applyFont="1"/>
    <xf numFmtId="0" fontId="0" fillId="0" borderId="0" xfId="0" quotePrefix="1" applyAlignment="1">
      <alignment horizontal="center"/>
    </xf>
    <xf numFmtId="10" fontId="7" fillId="0" borderId="0" xfId="0" applyNumberFormat="1" applyFont="1"/>
    <xf numFmtId="0" fontId="3" fillId="0" borderId="3" xfId="0" applyFont="1" applyBorder="1" applyAlignment="1">
      <alignment horizontal="center"/>
    </xf>
    <xf numFmtId="0" fontId="10" fillId="5" borderId="0" xfId="0" applyFont="1" applyFill="1" applyAlignment="1">
      <alignment horizontal="center"/>
    </xf>
    <xf numFmtId="0" fontId="10" fillId="6" borderId="0" xfId="0" applyFont="1" applyFill="1" applyAlignment="1">
      <alignment horizontal="center"/>
    </xf>
    <xf numFmtId="0" fontId="3" fillId="0" borderId="5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3" fillId="0" borderId="0" xfId="0" applyFont="1" applyAlignment="1">
      <alignment horizontal="center" wrapText="1"/>
    </xf>
    <xf numFmtId="0" fontId="11" fillId="4" borderId="6" xfId="0" applyFont="1" applyFill="1" applyBorder="1" applyAlignment="1">
      <alignment horizontal="center"/>
    </xf>
    <xf numFmtId="0" fontId="2" fillId="12" borderId="0" xfId="0" applyFont="1" applyFill="1" applyAlignment="1">
      <alignment horizontal="center"/>
    </xf>
    <xf numFmtId="0" fontId="12" fillId="0" borderId="0" xfId="0" applyFont="1"/>
    <xf numFmtId="0" fontId="3" fillId="0" borderId="7" xfId="0" applyFont="1" applyBorder="1" applyAlignment="1">
      <alignment horizontal="center"/>
    </xf>
    <xf numFmtId="0" fontId="0" fillId="0" borderId="7" xfId="0" applyBorder="1"/>
    <xf numFmtId="0" fontId="0" fillId="0" borderId="9" xfId="0" applyBorder="1"/>
    <xf numFmtId="0" fontId="3" fillId="0" borderId="7" xfId="0" applyFont="1" applyBorder="1" applyAlignment="1">
      <alignment horizontal="center" wrapText="1"/>
    </xf>
    <xf numFmtId="0" fontId="0" fillId="0" borderId="7" xfId="0" applyBorder="1" applyAlignment="1">
      <alignment horizontal="center"/>
    </xf>
    <xf numFmtId="0" fontId="0" fillId="0" borderId="7" xfId="0" applyBorder="1" applyAlignment="1">
      <alignment horizontal="left"/>
    </xf>
    <xf numFmtId="0" fontId="0" fillId="0" borderId="8" xfId="0" applyBorder="1" applyAlignment="1">
      <alignment horizontal="left"/>
    </xf>
    <xf numFmtId="10" fontId="0" fillId="0" borderId="7" xfId="1" applyNumberFormat="1" applyFont="1" applyBorder="1"/>
    <xf numFmtId="10" fontId="8" fillId="0" borderId="7" xfId="1" applyNumberFormat="1" applyFont="1" applyBorder="1"/>
    <xf numFmtId="0" fontId="0" fillId="0" borderId="7" xfId="0" applyBorder="1" applyAlignment="1">
      <alignment horizontal="right"/>
    </xf>
    <xf numFmtId="10" fontId="0" fillId="0" borderId="7" xfId="0" applyNumberFormat="1" applyBorder="1"/>
    <xf numFmtId="0" fontId="0" fillId="0" borderId="7" xfId="0" quotePrefix="1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1" xfId="0" applyBorder="1" applyAlignment="1">
      <alignment horizontal="right"/>
    </xf>
    <xf numFmtId="0" fontId="0" fillId="0" borderId="8" xfId="0" applyBorder="1"/>
    <xf numFmtId="10" fontId="0" fillId="0" borderId="8" xfId="1" applyNumberFormat="1" applyFont="1" applyBorder="1"/>
    <xf numFmtId="0" fontId="7" fillId="0" borderId="7" xfId="0" applyFont="1" applyBorder="1"/>
    <xf numFmtId="0" fontId="7" fillId="0" borderId="7" xfId="0" applyFont="1" applyBorder="1" applyAlignment="1">
      <alignment horizontal="left"/>
    </xf>
    <xf numFmtId="0" fontId="7" fillId="0" borderId="8" xfId="0" applyFont="1" applyBorder="1"/>
    <xf numFmtId="0" fontId="5" fillId="4" borderId="0" xfId="0" applyFont="1" applyFill="1" applyAlignment="1">
      <alignment horizontal="center"/>
    </xf>
    <xf numFmtId="164" fontId="0" fillId="0" borderId="0" xfId="0" applyNumberFormat="1"/>
    <xf numFmtId="164" fontId="0" fillId="0" borderId="0" xfId="1" applyNumberFormat="1" applyFont="1"/>
    <xf numFmtId="164" fontId="7" fillId="0" borderId="0" xfId="0" applyNumberFormat="1" applyFont="1"/>
    <xf numFmtId="165" fontId="0" fillId="0" borderId="0" xfId="0" applyNumberFormat="1"/>
    <xf numFmtId="165" fontId="0" fillId="0" borderId="4" xfId="0" applyNumberFormat="1" applyBorder="1"/>
    <xf numFmtId="165" fontId="0" fillId="0" borderId="7" xfId="1" applyNumberFormat="1" applyFont="1" applyBorder="1"/>
    <xf numFmtId="165" fontId="0" fillId="0" borderId="7" xfId="0" applyNumberFormat="1" applyBorder="1"/>
    <xf numFmtId="165" fontId="8" fillId="0" borderId="7" xfId="1" applyNumberFormat="1" applyFont="1" applyBorder="1"/>
    <xf numFmtId="165" fontId="8" fillId="0" borderId="7" xfId="0" applyNumberFormat="1" applyFont="1" applyBorder="1"/>
    <xf numFmtId="165" fontId="0" fillId="0" borderId="8" xfId="1" applyNumberFormat="1" applyFont="1" applyBorder="1"/>
    <xf numFmtId="165" fontId="8" fillId="0" borderId="10" xfId="0" applyNumberFormat="1" applyFont="1" applyBorder="1"/>
    <xf numFmtId="165" fontId="0" fillId="0" borderId="0" xfId="1" applyNumberFormat="1" applyFont="1" applyBorder="1"/>
    <xf numFmtId="165" fontId="8" fillId="0" borderId="8" xfId="1" applyNumberFormat="1" applyFont="1" applyBorder="1"/>
    <xf numFmtId="165" fontId="0" fillId="0" borderId="0" xfId="1" applyNumberFormat="1" applyFont="1"/>
    <xf numFmtId="165" fontId="7" fillId="0" borderId="8" xfId="0" applyNumberFormat="1" applyFont="1" applyBorder="1"/>
    <xf numFmtId="165" fontId="7" fillId="0" borderId="0" xfId="0" applyNumberFormat="1" applyFont="1"/>
    <xf numFmtId="165" fontId="7" fillId="0" borderId="7" xfId="0" applyNumberFormat="1" applyFont="1" applyBorder="1"/>
    <xf numFmtId="165" fontId="8" fillId="0" borderId="15" xfId="0" applyNumberFormat="1" applyFont="1" applyBorder="1"/>
    <xf numFmtId="165" fontId="8" fillId="0" borderId="11" xfId="0" applyNumberFormat="1" applyFont="1" applyBorder="1"/>
    <xf numFmtId="165" fontId="7" fillId="0" borderId="14" xfId="0" applyNumberFormat="1" applyFont="1" applyBorder="1"/>
    <xf numFmtId="0" fontId="7" fillId="0" borderId="11" xfId="0" applyFont="1" applyBorder="1"/>
    <xf numFmtId="165" fontId="8" fillId="0" borderId="14" xfId="0" applyNumberFormat="1" applyFont="1" applyBorder="1"/>
    <xf numFmtId="0" fontId="7" fillId="0" borderId="14" xfId="0" applyFont="1" applyBorder="1"/>
    <xf numFmtId="0" fontId="7" fillId="0" borderId="14" xfId="0" applyFont="1" applyBorder="1" applyAlignment="1">
      <alignment horizontal="right"/>
    </xf>
    <xf numFmtId="0" fontId="7" fillId="0" borderId="14" xfId="0" applyFont="1" applyBorder="1" applyAlignment="1">
      <alignment horizontal="left"/>
    </xf>
    <xf numFmtId="165" fontId="8" fillId="0" borderId="0" xfId="0" applyNumberFormat="1" applyFont="1"/>
    <xf numFmtId="165" fontId="7" fillId="0" borderId="12" xfId="0" applyNumberFormat="1" applyFont="1" applyBorder="1"/>
    <xf numFmtId="165" fontId="8" fillId="0" borderId="16" xfId="0" applyNumberFormat="1" applyFont="1" applyBorder="1"/>
    <xf numFmtId="0" fontId="7" fillId="0" borderId="17" xfId="0" applyFont="1" applyBorder="1"/>
    <xf numFmtId="165" fontId="7" fillId="0" borderId="18" xfId="0" applyNumberFormat="1" applyFont="1" applyBorder="1"/>
    <xf numFmtId="0" fontId="13" fillId="0" borderId="14" xfId="0" applyFont="1" applyBorder="1" applyAlignment="1">
      <alignment horizontal="center"/>
    </xf>
    <xf numFmtId="165" fontId="7" fillId="0" borderId="17" xfId="0" applyNumberFormat="1" applyFont="1" applyBorder="1"/>
    <xf numFmtId="0" fontId="0" fillId="0" borderId="1" xfId="0" applyBorder="1"/>
    <xf numFmtId="0" fontId="0" fillId="0" borderId="19" xfId="0" applyBorder="1"/>
    <xf numFmtId="165" fontId="0" fillId="0" borderId="2" xfId="0" applyNumberFormat="1" applyBorder="1"/>
    <xf numFmtId="165" fontId="0" fillId="0" borderId="20" xfId="0" applyNumberFormat="1" applyBorder="1"/>
    <xf numFmtId="0" fontId="0" fillId="0" borderId="14" xfId="0" applyBorder="1"/>
    <xf numFmtId="0" fontId="3" fillId="0" borderId="14" xfId="0" applyFont="1" applyBorder="1" applyAlignment="1">
      <alignment horizontal="center"/>
    </xf>
    <xf numFmtId="0" fontId="0" fillId="0" borderId="14" xfId="0" applyBorder="1" applyAlignment="1">
      <alignment horizontal="left"/>
    </xf>
    <xf numFmtId="165" fontId="8" fillId="0" borderId="14" xfId="1" applyNumberFormat="1" applyFont="1" applyBorder="1"/>
    <xf numFmtId="165" fontId="0" fillId="0" borderId="14" xfId="0" applyNumberFormat="1" applyBorder="1"/>
    <xf numFmtId="0" fontId="0" fillId="0" borderId="14" xfId="0" applyBorder="1" applyAlignment="1">
      <alignment horizontal="right"/>
    </xf>
    <xf numFmtId="165" fontId="0" fillId="0" borderId="4" xfId="1" applyNumberFormat="1" applyFont="1" applyBorder="1"/>
    <xf numFmtId="165" fontId="7" fillId="0" borderId="14" xfId="1" applyNumberFormat="1" applyFont="1" applyBorder="1"/>
    <xf numFmtId="165" fontId="8" fillId="0" borderId="14" xfId="0" applyNumberFormat="1" applyFont="1" applyBorder="1" applyAlignment="1">
      <alignment horizontal="center"/>
    </xf>
    <xf numFmtId="165" fontId="8" fillId="0" borderId="14" xfId="1" applyNumberFormat="1" applyFont="1" applyBorder="1" applyAlignment="1">
      <alignment horizontal="center"/>
    </xf>
    <xf numFmtId="165" fontId="0" fillId="0" borderId="14" xfId="0" applyNumberFormat="1" applyBorder="1" applyAlignment="1">
      <alignment horizontal="center"/>
    </xf>
    <xf numFmtId="0" fontId="14" fillId="0" borderId="0" xfId="0" applyFont="1"/>
    <xf numFmtId="0" fontId="0" fillId="0" borderId="0" xfId="0"/>
    <xf numFmtId="0" fontId="5" fillId="4" borderId="0" xfId="0" applyFont="1" applyFill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11" fillId="4" borderId="6" xfId="0" applyFont="1" applyFill="1" applyBorder="1" applyAlignment="1">
      <alignment horizontal="center"/>
    </xf>
    <xf numFmtId="0" fontId="11" fillId="4" borderId="0" xfId="0" applyFont="1" applyFill="1" applyAlignment="1">
      <alignment horizontal="center"/>
    </xf>
    <xf numFmtId="0" fontId="2" fillId="6" borderId="14" xfId="0" applyFont="1" applyFill="1" applyBorder="1" applyAlignment="1">
      <alignment horizontal="center"/>
    </xf>
    <xf numFmtId="0" fontId="2" fillId="5" borderId="12" xfId="0" applyFont="1" applyFill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2" fillId="4" borderId="0" xfId="0" applyFont="1" applyFill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3" fillId="0" borderId="0" xfId="0" applyFont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0" fillId="0" borderId="7" xfId="0" applyBorder="1" applyAlignment="1">
      <alignment horizontal="left" wrapText="1"/>
    </xf>
    <xf numFmtId="0" fontId="0" fillId="0" borderId="7" xfId="0" applyBorder="1" applyAlignment="1">
      <alignment horizontal="right" wrapText="1"/>
    </xf>
    <xf numFmtId="0" fontId="2" fillId="12" borderId="7" xfId="0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7" xfId="0" applyBorder="1" applyAlignment="1">
      <alignment vertical="top"/>
    </xf>
    <xf numFmtId="0" fontId="9" fillId="9" borderId="0" xfId="0" applyFont="1" applyFill="1" applyAlignment="1">
      <alignment horizontal="center"/>
    </xf>
    <xf numFmtId="0" fontId="2" fillId="5" borderId="7" xfId="0" applyFont="1" applyFill="1" applyBorder="1" applyAlignment="1">
      <alignment horizontal="center"/>
    </xf>
    <xf numFmtId="0" fontId="0" fillId="0" borderId="7" xfId="0" applyBorder="1" applyAlignment="1">
      <alignment horizontal="left" vertical="top"/>
    </xf>
    <xf numFmtId="0" fontId="2" fillId="6" borderId="7" xfId="0" applyFont="1" applyFill="1" applyBorder="1" applyAlignment="1">
      <alignment horizontal="center"/>
    </xf>
    <xf numFmtId="0" fontId="9" fillId="8" borderId="0" xfId="0" applyFont="1" applyFill="1" applyAlignment="1">
      <alignment horizontal="center"/>
    </xf>
    <xf numFmtId="0" fontId="9" fillId="7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0" fillId="0" borderId="0" xfId="0" applyAlignment="1">
      <alignment horizontal="left" vertical="top"/>
    </xf>
    <xf numFmtId="0" fontId="0" fillId="0" borderId="3" xfId="0" applyBorder="1" applyAlignment="1">
      <alignment horizontal="left" vertical="top"/>
    </xf>
    <xf numFmtId="0" fontId="9" fillId="7" borderId="7" xfId="0" applyFont="1" applyFill="1" applyBorder="1" applyAlignment="1">
      <alignment horizontal="center"/>
    </xf>
    <xf numFmtId="0" fontId="9" fillId="11" borderId="0" xfId="0" applyFont="1" applyFill="1" applyAlignment="1">
      <alignment horizontal="center"/>
    </xf>
    <xf numFmtId="0" fontId="9" fillId="10" borderId="0" xfId="0" applyFont="1" applyFill="1" applyAlignment="1">
      <alignment horizontal="center"/>
    </xf>
    <xf numFmtId="0" fontId="0" fillId="0" borderId="8" xfId="0" applyBorder="1" applyAlignment="1">
      <alignment horizontal="left" vertical="top"/>
    </xf>
    <xf numFmtId="0" fontId="0" fillId="0" borderId="12" xfId="0" applyBorder="1" applyAlignment="1">
      <alignment vertical="top"/>
    </xf>
    <xf numFmtId="0" fontId="3" fillId="0" borderId="0" xfId="0" applyFont="1" applyAlignment="1">
      <alignment wrapText="1"/>
    </xf>
    <xf numFmtId="0" fontId="2" fillId="12" borderId="0" xfId="0" applyFont="1" applyFill="1" applyAlignment="1">
      <alignment horizontal="center"/>
    </xf>
    <xf numFmtId="0" fontId="0" fillId="0" borderId="0" xfId="0" applyAlignment="1">
      <alignment horizontal="left" wrapText="1"/>
    </xf>
    <xf numFmtId="0" fontId="0" fillId="0" borderId="4" xfId="0" applyBorder="1" applyAlignment="1">
      <alignment horizontal="left" wrapText="1"/>
    </xf>
    <xf numFmtId="0" fontId="0" fillId="0" borderId="0" xfId="0" applyAlignment="1">
      <alignment horizontal="right" wrapText="1"/>
    </xf>
    <xf numFmtId="0" fontId="0" fillId="0" borderId="4" xfId="0" applyBorder="1" applyAlignment="1">
      <alignment horizontal="right" wrapText="1"/>
    </xf>
    <xf numFmtId="0" fontId="9" fillId="8" borderId="14" xfId="0" applyFont="1" applyFill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7" fillId="0" borderId="14" xfId="0" applyFont="1" applyBorder="1" applyAlignment="1">
      <alignment horizontal="left" vertical="top"/>
    </xf>
    <xf numFmtId="0" fontId="9" fillId="9" borderId="14" xfId="0" applyFont="1" applyFill="1" applyBorder="1" applyAlignment="1">
      <alignment horizontal="center"/>
    </xf>
    <xf numFmtId="0" fontId="9" fillId="2" borderId="14" xfId="0" applyFont="1" applyFill="1" applyBorder="1" applyAlignment="1">
      <alignment horizontal="center"/>
    </xf>
    <xf numFmtId="0" fontId="9" fillId="7" borderId="14" xfId="0" applyFont="1" applyFill="1" applyBorder="1" applyAlignment="1">
      <alignment horizontal="center"/>
    </xf>
    <xf numFmtId="0" fontId="9" fillId="11" borderId="14" xfId="0" applyFont="1" applyFill="1" applyBorder="1" applyAlignment="1">
      <alignment horizontal="center"/>
    </xf>
    <xf numFmtId="0" fontId="9" fillId="10" borderId="14" xfId="0" applyFont="1" applyFill="1" applyBorder="1" applyAlignment="1">
      <alignment horizontal="center"/>
    </xf>
    <xf numFmtId="0" fontId="9" fillId="3" borderId="14" xfId="0" applyFont="1" applyFill="1" applyBorder="1" applyAlignment="1">
      <alignment horizontal="center"/>
    </xf>
    <xf numFmtId="0" fontId="7" fillId="0" borderId="12" xfId="0" applyFont="1" applyBorder="1" applyAlignment="1">
      <alignment horizontal="left" vertical="top"/>
    </xf>
    <xf numFmtId="0" fontId="7" fillId="0" borderId="13" xfId="0" applyFont="1" applyBorder="1" applyAlignment="1">
      <alignment horizontal="left" vertical="top"/>
    </xf>
    <xf numFmtId="0" fontId="7" fillId="0" borderId="8" xfId="0" applyFont="1" applyBorder="1" applyAlignment="1">
      <alignment horizontal="left" vertical="top"/>
    </xf>
    <xf numFmtId="0" fontId="7" fillId="0" borderId="7" xfId="0" applyFont="1" applyBorder="1" applyAlignment="1">
      <alignment horizontal="left" vertical="top"/>
    </xf>
    <xf numFmtId="165" fontId="0" fillId="0" borderId="7" xfId="1" applyNumberFormat="1" applyFont="1" applyBorder="1" applyAlignment="1">
      <alignment horizontal="center"/>
    </xf>
    <xf numFmtId="0" fontId="0" fillId="0" borderId="21" xfId="0" applyBorder="1"/>
    <xf numFmtId="0" fontId="6" fillId="0" borderId="1" xfId="0" applyFont="1" applyBorder="1"/>
    <xf numFmtId="165" fontId="0" fillId="0" borderId="22" xfId="1" applyNumberFormat="1" applyFont="1" applyBorder="1"/>
    <xf numFmtId="165" fontId="0" fillId="0" borderId="2" xfId="1" applyNumberFormat="1" applyFont="1" applyBorder="1"/>
    <xf numFmtId="164" fontId="0" fillId="0" borderId="2" xfId="1" applyNumberFormat="1" applyFont="1" applyBorder="1"/>
    <xf numFmtId="0" fontId="0" fillId="0" borderId="0" xfId="0" applyBorder="1"/>
    <xf numFmtId="165" fontId="0" fillId="0" borderId="0" xfId="1" applyNumberFormat="1" applyFont="1" applyBorder="1" applyAlignment="1">
      <alignment horizontal="center"/>
    </xf>
    <xf numFmtId="165" fontId="0" fillId="0" borderId="4" xfId="1" applyNumberFormat="1" applyFont="1" applyBorder="1" applyAlignment="1">
      <alignment horizontal="center"/>
    </xf>
  </cellXfs>
  <cellStyles count="2">
    <cellStyle name="Normal" xfId="0" builtinId="0"/>
    <cellStyle name="Percent" xfId="1" builtinId="5"/>
  </cellStyles>
  <dxfs count="12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0.0"/>
      <border diagonalUp="0" diagonalDown="0">
        <left/>
        <right style="thin">
          <color indexed="64"/>
        </right>
        <top/>
        <bottom/>
        <vertical/>
        <horizontal/>
      </border>
    </dxf>
    <dxf>
      <numFmt numFmtId="0" formatCode="General"/>
      <alignment horizontal="center" vertical="bottom" textRotation="0" wrapText="1" indent="0" justifyLastLine="0" shrinkToFit="0" readingOrder="0"/>
    </dxf>
    <dxf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</dxf>
    <dxf>
      <protection locked="0" hidden="0"/>
    </dxf>
    <dxf>
      <protection locked="0" hidden="0"/>
    </dxf>
    <dxf>
      <alignment horizontal="center" vertical="bottom" textRotation="0" wrapText="0" indent="0" justifyLastLine="0" shrinkToFit="0" readingOrder="0"/>
    </dxf>
    <dxf>
      <protection locked="0" hidden="0"/>
    </dxf>
    <dxf>
      <protection locked="0" hidden="0"/>
    </dxf>
    <dxf>
      <alignment horizontal="center" vertical="bottom" textRotation="0" wrapText="0" indent="0" justifyLastLine="0" shrinkToFit="0" readingOrder="0"/>
    </dxf>
    <dxf>
      <protection locked="0" hidden="0"/>
    </dxf>
    <dxf>
      <protection locked="0" hidden="0"/>
    </dxf>
    <dxf>
      <alignment horizontal="center" vertical="bottom" textRotation="0" wrapText="0" indent="0" justifyLastLine="0" shrinkToFit="0" readingOrder="0"/>
    </dxf>
    <dxf>
      <protection locked="0" hidden="0"/>
    </dxf>
    <dxf>
      <protection locked="0" hidden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vertic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</dxf>
    <dxf>
      <border outline="0">
        <top style="thin">
          <color theme="1"/>
        </top>
      </border>
    </dxf>
    <dxf>
      <border outline="0">
        <bottom style="thin">
          <color theme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protection locked="0" hidden="0"/>
    </dxf>
    <dxf>
      <protection locked="0" hidden="0"/>
    </dxf>
    <dxf>
      <alignment horizontal="center" vertical="bottom" textRotation="0" wrapText="0" indent="0" justifyLastLine="0" shrinkToFit="0" readingOrder="0"/>
    </dxf>
    <dxf>
      <protection locked="0" hidden="0"/>
    </dxf>
    <dxf>
      <protection locked="0" hidden="0"/>
    </dxf>
    <dxf>
      <alignment horizontal="center" vertical="bottom" textRotation="0" wrapText="0" indent="0" justifyLastLine="0" shrinkToFit="0" readingOrder="0"/>
    </dxf>
    <dxf>
      <protection locked="0" hidden="0"/>
    </dxf>
    <dxf>
      <protection locked="0" hidden="0"/>
    </dxf>
    <dxf>
      <alignment horizontal="center" vertical="bottom" textRotation="0" wrapText="0" indent="0" justifyLastLine="0" shrinkToFit="0" readingOrder="0"/>
    </dxf>
    <dxf>
      <protection locked="0" hidden="0"/>
    </dxf>
    <dxf>
      <protection locked="0" hidden="0"/>
    </dxf>
    <dxf>
      <alignment horizontal="center" vertical="bottom" textRotation="0" wrapText="0" indent="0" justifyLastLine="0" shrinkToFit="0" readingOrder="0"/>
    </dxf>
    <dxf>
      <protection locked="0" hidden="0"/>
    </dxf>
    <dxf>
      <protection locked="0" hidden="0"/>
    </dxf>
    <dxf>
      <alignment horizontal="center" vertical="bottom" textRotation="0" wrapText="0" indent="0" justifyLastLine="0" shrinkToFit="0" readingOrder="0"/>
    </dxf>
    <dxf>
      <protection locked="0" hidden="0"/>
    </dxf>
    <dxf>
      <protection locked="0" hidden="0"/>
    </dxf>
    <dxf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rgb="FF00B050"/>
        </patternFill>
      </fill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rgb="FFC00000"/>
        </patternFill>
      </fill>
      <alignment horizontal="center" vertical="bottom" textRotation="0" wrapText="0" indent="0" justifyLastLine="0" shrinkToFit="0" readingOrder="0"/>
    </dxf>
    <dxf>
      <numFmt numFmtId="164" formatCode="0.0"/>
    </dxf>
    <dxf>
      <numFmt numFmtId="164" formatCode="0.0"/>
    </dxf>
    <dxf>
      <border>
        <bottom style="thin">
          <color theme="1"/>
        </bottom>
      </border>
    </dxf>
    <dxf>
      <font>
        <b/>
      </font>
      <alignment horizontal="center" vertical="bottom" textRotation="0" wrapText="0" indent="0" justifyLastLine="0" shrinkToFit="0" readingOrder="0"/>
      <border diagonalUp="0" diagonalDown="0" outline="0">
        <left style="thin">
          <color theme="1"/>
        </left>
        <right style="thin">
          <color theme="1"/>
        </right>
        <top/>
        <bottom/>
      </border>
    </dxf>
    <dxf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protection locked="0" hidden="0"/>
    </dxf>
    <dxf>
      <alignment horizontal="center" vertical="bottom" textRotation="0" wrapText="0" indent="0" justifyLastLine="0" shrinkToFit="0" readingOrder="0"/>
      <protection locked="0" hidden="0"/>
    </dxf>
    <dxf>
      <alignment horizontal="center" vertical="bottom" textRotation="0" wrapText="0" indent="0" justifyLastLine="0" shrinkToFit="0" readingOrder="0"/>
      <protection locked="0" hidden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protection locked="0" hidden="0"/>
    </dxf>
    <dxf>
      <alignment horizontal="center" vertical="bottom" textRotation="0" wrapText="0" indent="0" justifyLastLine="0" shrinkToFit="0" readingOrder="0"/>
      <protection locked="0" hidden="0"/>
    </dxf>
    <dxf>
      <alignment horizontal="center" vertical="bottom" textRotation="0" wrapText="0" indent="0" justifyLastLine="0" shrinkToFit="0" readingOrder="0"/>
      <protection locked="0" hidden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protection locked="0" hidden="0"/>
    </dxf>
    <dxf>
      <alignment horizontal="center" vertical="bottom" textRotation="0" wrapText="0" indent="0" justifyLastLine="0" shrinkToFit="0" readingOrder="0"/>
      <protection locked="0" hidden="0"/>
    </dxf>
    <dxf>
      <alignment horizontal="center" vertical="bottom" textRotation="0" wrapText="0" indent="0" justifyLastLine="0" shrinkToFit="0" readingOrder="0"/>
      <protection locked="0" hidden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protection locked="0" hidden="0"/>
    </dxf>
    <dxf>
      <alignment horizontal="center" vertical="bottom" textRotation="0" wrapText="0" indent="0" justifyLastLine="0" shrinkToFit="0" readingOrder="0"/>
      <protection locked="0" hidden="0"/>
    </dxf>
    <dxf>
      <alignment horizontal="center" vertical="bottom" textRotation="0" wrapText="0" indent="0" justifyLastLine="0" shrinkToFit="0" readingOrder="0"/>
      <protection locked="0" hidden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alignment horizontal="left" vertical="bottom" textRotation="0" wrapText="0" indent="0" justifyLastLine="0" shrinkToFit="0" readingOrder="0"/>
    </dxf>
    <dxf>
      <font>
        <b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protection locked="0" hidden="0"/>
    </dxf>
    <dxf>
      <alignment horizontal="center" vertical="bottom" textRotation="0" wrapText="0" indent="0" justifyLastLine="0" shrinkToFit="0" readingOrder="0"/>
      <protection locked="0" hidden="0"/>
    </dxf>
    <dxf>
      <alignment horizontal="center" vertical="bottom" textRotation="0" wrapText="0" indent="0" justifyLastLine="0" shrinkToFit="0" readingOrder="0"/>
      <protection locked="0" hidden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protection locked="0" hidden="0"/>
    </dxf>
    <dxf>
      <alignment horizontal="center" vertical="bottom" textRotation="0" wrapText="0" indent="0" justifyLastLine="0" shrinkToFit="0" readingOrder="0"/>
      <protection locked="0" hidden="0"/>
    </dxf>
    <dxf>
      <alignment horizontal="center" vertical="bottom" textRotation="0" wrapText="0" indent="0" justifyLastLine="0" shrinkToFit="0" readingOrder="0"/>
      <protection locked="0" hidden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protection locked="0" hidden="0"/>
    </dxf>
    <dxf>
      <alignment horizontal="center" vertical="bottom" textRotation="0" wrapText="0" indent="0" justifyLastLine="0" shrinkToFit="0" readingOrder="0"/>
      <protection locked="0" hidden="0"/>
    </dxf>
    <dxf>
      <alignment horizontal="center" vertical="bottom" textRotation="0" wrapText="0" indent="0" justifyLastLine="0" shrinkToFit="0" readingOrder="0"/>
      <protection locked="0" hidden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protection locked="0" hidden="0"/>
    </dxf>
    <dxf>
      <alignment horizontal="center" vertical="bottom" textRotation="0" wrapText="0" indent="0" justifyLastLine="0" shrinkToFit="0" readingOrder="0"/>
      <protection locked="0" hidden="0"/>
    </dxf>
    <dxf>
      <alignment horizontal="center" vertical="bottom" textRotation="0" wrapText="0" indent="0" justifyLastLine="0" shrinkToFit="0" readingOrder="0"/>
      <protection locked="0" hidden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protection locked="0" hidden="0"/>
    </dxf>
    <dxf>
      <alignment horizontal="center" vertical="bottom" textRotation="0" wrapText="0" indent="0" justifyLastLine="0" shrinkToFit="0" readingOrder="0"/>
      <protection locked="0" hidden="0"/>
    </dxf>
    <dxf>
      <alignment horizontal="center" vertical="bottom" textRotation="0" wrapText="0" indent="0" justifyLastLine="0" shrinkToFit="0" readingOrder="0"/>
      <protection locked="0" hidden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protection locked="0" hidden="0"/>
    </dxf>
    <dxf>
      <alignment horizontal="center" vertical="bottom" textRotation="0" wrapText="0" indent="0" justifyLastLine="0" shrinkToFit="0" readingOrder="0"/>
      <protection locked="0" hidden="0"/>
    </dxf>
    <dxf>
      <alignment horizontal="center" vertical="bottom" textRotation="0" wrapText="0" indent="0" justifyLastLine="0" shrinkToFit="0" readingOrder="0"/>
      <protection locked="0" hidden="0"/>
    </dxf>
    <dxf>
      <alignment horizontal="center" vertical="bottom" textRotation="0" wrapText="0" indent="0" justifyLastLine="0" shrinkToFit="0" readingOrder="0"/>
    </dxf>
  </dxfs>
  <tableStyles count="1" defaultTableStyle="TableStyleMedium2" defaultPivotStyle="PivotStyleLight16">
    <tableStyle name="Invisible" pivot="0" table="0" count="0" xr9:uid="{CF82AA1C-8350-41EE-B997-4224FB756489}"/>
  </tableStyles>
  <colors>
    <mruColors>
      <color rgb="FF02020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DF0F3270-EF1D-1A48-B069-5F85DB42539F}" name="Table2" displayName="Table2" ref="A9:B110" totalsRowShown="0" headerRowDxfId="124" dataDxfId="123">
  <autoFilter ref="A9:B110" xr:uid="{DF0F3270-EF1D-1A48-B069-5F85DB42539F}">
    <filterColumn colId="0" hiddenButton="1"/>
    <filterColumn colId="1" hiddenButton="1"/>
  </autoFilter>
  <tableColumns count="2">
    <tableColumn id="1" xr3:uid="{6E8C5394-D399-ED4B-8A49-6B0748796A07}" name="BEFORE - Item 1A" dataDxfId="122"/>
    <tableColumn id="2" xr3:uid="{99FF2BBF-7238-4D4A-9498-047F1D82AD35}" name="AFTER - Item 1A" dataDxfId="121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3866619D-70C8-DB4F-8991-5F1C1E86E6FF}" name="Table2711" displayName="Table2711" ref="Q9:R110" totalsRowShown="0" headerRowDxfId="89" dataDxfId="88">
  <autoFilter ref="Q9:R110" xr:uid="{3866619D-70C8-DB4F-8991-5F1C1E86E6FF}">
    <filterColumn colId="0" hiddenButton="1"/>
    <filterColumn colId="1" hiddenButton="1"/>
  </autoFilter>
  <tableColumns count="2">
    <tableColumn id="1" xr3:uid="{EFFA0FE9-B8DB-554C-836B-23D8D2F0B5D8}" name="BEFORE - Item 1I" dataDxfId="87"/>
    <tableColumn id="2" xr3:uid="{622EFDCE-CB1A-FE44-89AF-2A53E60484AE}" name="AFTER - Item 1I" dataDxfId="86"/>
  </tableColumns>
  <tableStyleInfo name="TableStyleMedium1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B033320E-7FBE-7345-A58D-567714EBD017}" name="Table27812" displayName="Table27812" ref="S9:T110" totalsRowShown="0" headerRowDxfId="85" dataDxfId="84">
  <autoFilter ref="S9:T110" xr:uid="{B033320E-7FBE-7345-A58D-567714EBD017}">
    <filterColumn colId="0" hiddenButton="1"/>
    <filterColumn colId="1" hiddenButton="1"/>
  </autoFilter>
  <tableColumns count="2">
    <tableColumn id="1" xr3:uid="{C6351978-9463-6E41-9634-30F7F977BE01}" name="BEFORE- Item 1J" dataDxfId="83"/>
    <tableColumn id="2" xr3:uid="{EB6B5529-11FB-EA49-9473-D623000587A0}" name="AFTER- Item 1J" dataDxfId="82"/>
  </tableColumns>
  <tableStyleInfo name="TableStyleMedium12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28345CCE-881D-F24F-ACD3-3D94C2184C03}" name="Table12" displayName="Table12" ref="A2:A102" totalsRowShown="0" headerRowDxfId="81" dataDxfId="80">
  <autoFilter ref="A2:A102" xr:uid="{28345CCE-881D-F24F-ACD3-3D94C2184C03}">
    <filterColumn colId="0" hiddenButton="1"/>
  </autoFilter>
  <tableColumns count="1">
    <tableColumn id="1" xr3:uid="{F0255AF3-688F-4042-B2B8-7DBC85BEFB65}" name="Item 1A" dataDxfId="79">
      <calculatedColumnFormula>IF(OR(ISBLANK('Change in Means- Data Input'!A10), ISBLANK('Change in Means- Data Input'!B10)),"", 'Change in Means- Data Input'!B10-'Change in Means- Data Input'!A10)</calculatedColumnFormula>
    </tableColumn>
  </tableColumns>
  <tableStyleInfo name="TableStyleMedium2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36D5BD9D-CD6B-3846-943D-63C0EB7A413B}" name="Table13" displayName="Table13" ref="B2:B102" totalsRowShown="0" headerRowDxfId="78" dataDxfId="77">
  <autoFilter ref="B2:B102" xr:uid="{36D5BD9D-CD6B-3846-943D-63C0EB7A413B}">
    <filterColumn colId="0" hiddenButton="1"/>
  </autoFilter>
  <tableColumns count="1">
    <tableColumn id="1" xr3:uid="{A177F965-138E-E747-AF17-8EC07D9978B8}" name="Item 1B" dataDxfId="76">
      <calculatedColumnFormula>IF(OR(ISBLANK('Change in Means- Data Input'!C10),ISBLANK('Change in Means- Data Input'!D10)),"",'Change in Means- Data Input'!D10-'Change in Means- Data Input'!C10)</calculatedColumnFormula>
    </tableColumn>
  </tableColumns>
  <tableStyleInfo name="TableStyleMedium3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9ACFB50B-A401-334E-9A2D-13688EE95E4A}" name="Table14" displayName="Table14" ref="C2:C102" totalsRowShown="0" headerRowDxfId="75" dataDxfId="74">
  <autoFilter ref="C2:C102" xr:uid="{9ACFB50B-A401-334E-9A2D-13688EE95E4A}">
    <filterColumn colId="0" hiddenButton="1"/>
  </autoFilter>
  <tableColumns count="1">
    <tableColumn id="1" xr3:uid="{3BE6FC2B-AD40-5349-B19F-4A58090DEDD2}" name="Item 1C" dataDxfId="73">
      <calculatedColumnFormula>IF(OR(ISBLANK('Change in Means- Data Input'!E10),ISBLANK('Change in Means- Data Input'!F10)),"",'Change in Means- Data Input'!F10-'Change in Means- Data Input'!E10)</calculatedColumnFormula>
    </tableColumn>
  </tableColumns>
  <tableStyleInfo name="TableStyleMedium4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41C8666B-3B33-534E-9CCE-E3B7D342CE46}" name="Table15" displayName="Table15" ref="D2:D102" totalsRowShown="0" headerRowDxfId="72" dataDxfId="71">
  <autoFilter ref="D2:D102" xr:uid="{41C8666B-3B33-534E-9CCE-E3B7D342CE46}">
    <filterColumn colId="0" hiddenButton="1"/>
  </autoFilter>
  <tableColumns count="1">
    <tableColumn id="1" xr3:uid="{E5A34AC1-7F06-714B-9978-C5F8DE61F838}" name="Item 1D" dataDxfId="70">
      <calculatedColumnFormula>IF(OR(ISBLANK('Change in Means- Data Input'!G10),ISBLANK('Change in Means- Data Input'!H10)),"",'Change in Means- Data Input'!H10-'Change in Means- Data Input'!G10)</calculatedColumnFormula>
    </tableColumn>
  </tableColumns>
  <tableStyleInfo name="TableStyleMedium5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103E00D6-6C2E-BE49-8BB9-2551B3B48B51}" name="Table16" displayName="Table16" ref="E2:E102" totalsRowShown="0" headerRowDxfId="69" dataDxfId="68">
  <autoFilter ref="E2:E102" xr:uid="{103E00D6-6C2E-BE49-8BB9-2551B3B48B51}">
    <filterColumn colId="0" hiddenButton="1"/>
  </autoFilter>
  <tableColumns count="1">
    <tableColumn id="1" xr3:uid="{CCA4EEB3-7EA9-C44B-B5E6-8FD7AC4C53D2}" name="Item 1E" dataDxfId="67">
      <calculatedColumnFormula>IF(OR(ISBLANK('Change in Means- Data Input'!I10),ISBLANK('Change in Means- Data Input'!J10)),"",'Change in Means- Data Input'!J10-'Change in Means- Data Input'!I10)</calculatedColumnFormula>
    </tableColumn>
  </tableColumns>
  <tableStyleInfo name="TableStyleMedium6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7B52A494-DAD4-7F44-B79D-6868B75CDB59}" name="Table17" displayName="Table17" ref="F2:F102" totalsRowShown="0" headerRowDxfId="66" dataDxfId="65">
  <autoFilter ref="F2:F102" xr:uid="{7B52A494-DAD4-7F44-B79D-6868B75CDB59}">
    <filterColumn colId="0" hiddenButton="1"/>
  </autoFilter>
  <tableColumns count="1">
    <tableColumn id="1" xr3:uid="{0D501B07-814B-3345-A20F-B51FBB1A4700}" name="Item 1F" dataDxfId="64">
      <calculatedColumnFormula>IF(OR(ISBLANK('Change in Means- Data Input'!K10),ISBLANK('Change in Means- Data Input'!L10)),"",'Change in Means- Data Input'!L10-'Change in Means- Data Input'!K10)</calculatedColumnFormula>
    </tableColumn>
  </tableColumns>
  <tableStyleInfo name="TableStyleMedium7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CC8259A1-490A-7A4E-A2DA-1847069BDC7C}" name="Table21" displayName="Table21" ref="O2:R13" totalsRowShown="0" headerRowDxfId="63" headerRowBorderDxfId="62">
  <autoFilter ref="O2:R13" xr:uid="{CC8259A1-490A-7A4E-A2DA-1847069BDC7C}">
    <filterColumn colId="0" hiddenButton="1"/>
    <filterColumn colId="1" hiddenButton="1"/>
    <filterColumn colId="2" hiddenButton="1"/>
    <filterColumn colId="3" hiddenButton="1"/>
  </autoFilter>
  <tableColumns count="4">
    <tableColumn id="1" xr3:uid="{4B291816-669B-5547-8E7A-A9FAB2727713}" name="Understanding of... "/>
    <tableColumn id="2" xr3:uid="{C82761B6-B428-C942-BD94-2BDF7BE3B9F4}" name="Mean Before" dataDxfId="61"/>
    <tableColumn id="3" xr3:uid="{BEC3A8DD-9A87-1C43-9EFF-2AE4CCFEE141}" name="Mean After" dataDxfId="60"/>
    <tableColumn id="4" xr3:uid="{80E3D41A-59D4-7344-BA03-87C6555204B8}" name="Percent Change" dataDxfId="0" dataCellStyle="Percent"/>
  </tableColumns>
  <tableStyleInfo name="TableStyleLight1" showFirstColumn="0" showLastColumn="0" showRowStripes="0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CAD90476-EBB3-6B4B-8E5B-66C8E8EF688E}" name="Table37" displayName="Table37" ref="K2:K102" totalsRowShown="0" headerRowDxfId="59" dataDxfId="58">
  <autoFilter ref="K2:K102" xr:uid="{CAD90476-EBB3-6B4B-8E5B-66C8E8EF688E}">
    <filterColumn colId="0" hiddenButton="1"/>
  </autoFilter>
  <tableColumns count="1">
    <tableColumn id="1" xr3:uid="{6C6A2D58-95A1-B64C-810A-D2334063ADE0}" name="Pre" dataDxfId="57">
      <calculatedColumnFormula>IF('Change in Means- Data Input'!A10="NA","NULL",COUNTIF('Change in Means- Data Input'!A10,"&gt;=3")+COUNTIF('Change in Means- Data Input'!C10,"&gt;=3")+COUNTIF('Change in Means- Data Input'!E10,"&gt;=3")+COUNTIF('Change in Means- Data Input'!G10,"&gt;=3")+COUNTIF('Change in Means- Data Input'!I10,"&gt;=3")+COUNTIF('Change in Means- Data Input'!K10,"&gt;=3")+COUNTIF('Change in Means- Data Input'!M10,"&gt;=3")+COUNTIF('Change in Means- Data Input'!O10,"&gt;=3")+COUNTIF('Change in Means- Data Input'!Q10,"&gt;=3")+COUNTIF('Change in Means- Data Input'!S10,"&gt;=3"))</calculatedColumnFormula>
    </tableColumn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51456987-4012-4E41-B83A-130E311B943C}" name="Table24" displayName="Table24" ref="C9:D110" totalsRowShown="0" headerRowDxfId="120" dataDxfId="119">
  <autoFilter ref="C9:D110" xr:uid="{51456987-4012-4E41-B83A-130E311B943C}">
    <filterColumn colId="0" hiddenButton="1"/>
    <filterColumn colId="1" hiddenButton="1"/>
  </autoFilter>
  <tableColumns count="2">
    <tableColumn id="1" xr3:uid="{6B195E13-F36F-C449-81D2-E09213860822}" name="BEFORE - Item 1B" dataDxfId="118"/>
    <tableColumn id="2" xr3:uid="{29B07556-CE4E-964D-AFF0-D76EA727DE90}" name="AFTER - Item 1B" dataDxfId="117"/>
  </tableColumns>
  <tableStyleInfo name="TableStyleMedium3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245BAF6C-1E18-4245-AD99-E2034A6DAF80}" name="Table38" displayName="Table38" ref="L2:L102" totalsRowShown="0" headerRowDxfId="56" dataDxfId="55">
  <autoFilter ref="L2:L102" xr:uid="{245BAF6C-1E18-4245-AD99-E2034A6DAF80}">
    <filterColumn colId="0" hiddenButton="1"/>
  </autoFilter>
  <tableColumns count="1">
    <tableColumn id="1" xr3:uid="{E4C9E2FF-C37F-884C-A0AB-A779BEBAB85D}" name="Post" dataDxfId="54">
      <calculatedColumnFormula>IF('Change in Means- Data Input'!B10="NA","NULL",COUNTIF('Change in Means- Data Input'!B10,"&gt;=3")+COUNTIF('Change in Means- Data Input'!D10,"&gt;=3")+COUNTIF('Change in Means- Data Input'!F10,"&gt;=3")+COUNTIF('Change in Means- Data Input'!H10,"&gt;=3")+COUNTIF('Change in Means- Data Input'!J10,"&gt;=3")+COUNTIF('Change in Means- Data Input'!L10,"&gt;=3")+COUNTIF('Change in Means- Data Input'!N10,"&gt;=3")+COUNTIF('Change in Means- Data Input'!P10,"&gt;=3")+COUNTIF('Change in Means- Data Input'!R10,"&gt;=3")+COUNTIF('Change in Means- Data Input'!T10,"&gt;=3"))</calculatedColumnFormula>
    </tableColumn>
  </tableColumns>
  <tableStyleInfo name="TableStyleLight1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F9717B2F-2070-9B4F-9599-422CEAE637AE}" name="Table42" displayName="Table42" ref="M2:M102" totalsRowShown="0" headerRowDxfId="53" dataDxfId="52">
  <autoFilter ref="M2:M102" xr:uid="{F9717B2F-2070-9B4F-9599-422CEAE637AE}">
    <filterColumn colId="0" hiddenButton="1"/>
  </autoFilter>
  <tableColumns count="1">
    <tableColumn id="1" xr3:uid="{8CFAFF41-B255-3B4D-A3BE-34E45C788DEC}" name="Increased in Understanding" dataDxfId="51">
      <calculatedColumnFormula>IF(Table37[[#This Row],[Pre]]="NULL","NULL",IF(COUNTIF(A3:J3,"&gt;0"),"Yes","No"))</calculatedColumnFormula>
    </tableColumn>
  </tableColumns>
  <tableStyleInfo name="TableStyleLight1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8A705199-E739-5144-9585-C84C0E56EFB3}" name="Table1219" displayName="Table1219" ref="G2:G102" totalsRowShown="0" headerRowDxfId="50" dataDxfId="49">
  <autoFilter ref="G2:G102" xr:uid="{8A705199-E739-5144-9585-C84C0E56EFB3}">
    <filterColumn colId="0" hiddenButton="1"/>
  </autoFilter>
  <tableColumns count="1">
    <tableColumn id="1" xr3:uid="{6370CC0F-E649-E444-BB7E-541C2D7DC9CF}" name="Item 1G" dataDxfId="48">
      <calculatedColumnFormula>IF(OR(ISBLANK('Change in Means- Data Input'!M10),ISBLANK('Change in Means- Data Input'!N10)),"",'Change in Means- Data Input'!N10-'Change in Means- Data Input'!M10)</calculatedColumnFormula>
    </tableColumn>
  </tableColumns>
  <tableStyleInfo name="TableStyleMedium9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D99FD1FA-DC41-284F-BF9E-ECF67D6CD2A8}" name="Table1220" displayName="Table1220" ref="H2:H102" totalsRowShown="0" headerRowDxfId="47" dataDxfId="46">
  <autoFilter ref="H2:H102" xr:uid="{D99FD1FA-DC41-284F-BF9E-ECF67D6CD2A8}">
    <filterColumn colId="0" hiddenButton="1"/>
  </autoFilter>
  <tableColumns count="1">
    <tableColumn id="1" xr3:uid="{D23B8424-626E-E14B-A300-58EF4BD52538}" name="Item 1H" dataDxfId="45">
      <calculatedColumnFormula>IF(OR(ISBLANK('Change in Means- Data Input'!O10),ISBLANK('Change in Means- Data Input'!P10)),"",'Change in Means- Data Input'!P10-'Change in Means- Data Input'!O10)</calculatedColumnFormula>
    </tableColumn>
  </tableColumns>
  <tableStyleInfo name="TableStyleMedium10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4CF58F59-3469-1A43-A239-A03C8BCBEFC7}" name="Table1221" displayName="Table1221" ref="I2:I102" totalsRowShown="0" headerRowDxfId="44" dataDxfId="43">
  <autoFilter ref="I2:I102" xr:uid="{4CF58F59-3469-1A43-A239-A03C8BCBEFC7}">
    <filterColumn colId="0" hiddenButton="1"/>
  </autoFilter>
  <tableColumns count="1">
    <tableColumn id="1" xr3:uid="{6F1EE2CF-C07A-B64A-95D7-CFB77CC379D6}" name="Item 1I" dataDxfId="42">
      <calculatedColumnFormula>IF(OR(ISBLANK('Change in Means- Data Input'!Q10),ISBLANK('Change in Means- Data Input'!R10)),"",'Change in Means- Data Input'!R10-'Change in Means- Data Input'!Q10)</calculatedColumnFormula>
    </tableColumn>
  </tableColumns>
  <tableStyleInfo name="TableStyleMedium11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A607BEA2-B96E-804F-942D-96214DF1A7A7}" name="Table1224" displayName="Table1224" ref="J2:J102" totalsRowShown="0" headerRowDxfId="41" dataDxfId="40">
  <autoFilter ref="J2:J102" xr:uid="{A607BEA2-B96E-804F-942D-96214DF1A7A7}">
    <filterColumn colId="0" hiddenButton="1"/>
  </autoFilter>
  <tableColumns count="1">
    <tableColumn id="1" xr3:uid="{B6654E2B-3E83-784F-AB47-9C82BD343E41}" name="Item 1J" dataDxfId="39">
      <calculatedColumnFormula>IF(OR(ISBLANK('Change in Means- Data Input'!S10),ISBLANK('Change in Means- Data Input'!T10)),"",'Change in Means- Data Input'!T10-'Change in Means- Data Input'!S10)</calculatedColumnFormula>
    </tableColumn>
  </tableColumns>
  <tableStyleInfo name="TableStyleMedium12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77F26D64-952E-3942-B2BC-79D5BD7697F6}" name="Table229" displayName="Table229" ref="A12:A113" totalsRowShown="0" headerRowDxfId="38" dataDxfId="37">
  <autoFilter ref="A12:A113" xr:uid="{DF0F3270-EF1D-1A48-B069-5F85DB42539F}">
    <filterColumn colId="0" hiddenButton="1"/>
  </autoFilter>
  <tableColumns count="1">
    <tableColumn id="2" xr3:uid="{9F0904F3-2588-0B40-9460-C3621DEE829B}" name="Item 2A" dataDxfId="36"/>
  </tableColumns>
  <tableStyleInfo name="TableStyleMedium2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7F02CCA0-C3BB-EA4B-8DCE-E88F8E890FB5}" name="Table2430" displayName="Table2430" ref="B12:B113" totalsRowShown="0" headerRowDxfId="35" dataDxfId="34">
  <autoFilter ref="B12:B113" xr:uid="{51456987-4012-4E41-B83A-130E311B943C}">
    <filterColumn colId="0" hiddenButton="1"/>
  </autoFilter>
  <tableColumns count="1">
    <tableColumn id="2" xr3:uid="{ADEC3613-AC76-A44E-9280-783DD03E5281}" name="Item 2B" dataDxfId="33"/>
  </tableColumns>
  <tableStyleInfo name="TableStyleMedium3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995C1449-5252-D44D-B9EA-8F0C6636D4AC}" name="Table2531" displayName="Table2531" ref="C12:C113" totalsRowShown="0" headerRowDxfId="32" dataDxfId="31">
  <autoFilter ref="C12:C113" xr:uid="{72B58DB1-6B24-F04B-945C-DCBB3F06D4CC}">
    <filterColumn colId="0" hiddenButton="1"/>
  </autoFilter>
  <tableColumns count="1">
    <tableColumn id="2" xr3:uid="{F0AD62B4-F8D6-FD4D-9547-FC6C692E6B01}" name="Item 2C" dataDxfId="30"/>
  </tableColumns>
  <tableStyleInfo name="TableStyleMedium4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1F819F63-B138-5F49-B737-F8FEE48A5851}" name="Table2632" displayName="Table2632" ref="D12:D113" totalsRowShown="0" headerRowDxfId="29" dataDxfId="28">
  <autoFilter ref="D12:D113" xr:uid="{32BEC1AD-09BC-6D45-959A-31B4F0E45C04}">
    <filterColumn colId="0" hiddenButton="1"/>
  </autoFilter>
  <tableColumns count="1">
    <tableColumn id="2" xr3:uid="{2D3BE94B-942F-5143-8454-3998F75BCB0F}" name="Item 2D" dataDxfId="27"/>
  </tableColumns>
  <tableStyleInfo name="TableStyleMedium5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72B58DB1-6B24-F04B-945C-DCBB3F06D4CC}" name="Table25" displayName="Table25" ref="E9:F110" totalsRowShown="0" headerRowDxfId="116" dataDxfId="115">
  <autoFilter ref="E9:F110" xr:uid="{72B58DB1-6B24-F04B-945C-DCBB3F06D4CC}">
    <filterColumn colId="0" hiddenButton="1"/>
    <filterColumn colId="1" hiddenButton="1"/>
  </autoFilter>
  <tableColumns count="2">
    <tableColumn id="1" xr3:uid="{E9B0E8DE-5B00-9641-A439-8742FC83CF37}" name="BEFORE - Item 1C" dataDxfId="114"/>
    <tableColumn id="2" xr3:uid="{8B298D54-48FE-CD4C-87A4-D9A7D3775587}" name="AFTER -Item 1C" dataDxfId="113"/>
  </tableColumns>
  <tableStyleInfo name="TableStyleMedium4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DF4CD2F9-37C4-3248-8146-2C20E4034ACD}" name="Table2733" displayName="Table2733" ref="E12:E113" totalsRowShown="0" headerRowDxfId="26" dataDxfId="25">
  <autoFilter ref="E12:E113" xr:uid="{80AFDA8E-4203-5248-A149-828506493393}">
    <filterColumn colId="0" hiddenButton="1"/>
  </autoFilter>
  <tableColumns count="1">
    <tableColumn id="2" xr3:uid="{CB499120-5833-0F4C-9DCD-80D31FA48716}" name="Item 2E" dataDxfId="24"/>
  </tableColumns>
  <tableStyleInfo name="TableStyleMedium6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382936A3-BC5F-2C42-B210-B66EDB1D1C3E}" name="Table27834" displayName="Table27834" ref="F12:F113" totalsRowShown="0" headerRowDxfId="23" dataDxfId="22">
  <autoFilter ref="F12:F113" xr:uid="{75F22291-8CDF-3647-89DD-6DF26091589C}">
    <filterColumn colId="0" hiddenButton="1"/>
  </autoFilter>
  <tableColumns count="1">
    <tableColumn id="2" xr3:uid="{EFB03068-710C-DC4B-8C79-7C7DA14E9ECB}" name="Item 2F" dataDxfId="21"/>
  </tableColumns>
  <tableStyleInfo name="TableStyleMedium7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A674448-5F11-7543-A84C-965170830483}" name="Table1" displayName="Table1" ref="A1:B8" totalsRowShown="0" headerRowDxfId="20" headerRowBorderDxfId="19" tableBorderDxfId="18">
  <autoFilter ref="A1:B8" xr:uid="{0A674448-5F11-7543-A84C-965170830483}">
    <filterColumn colId="0" hiddenButton="1"/>
    <filterColumn colId="1" hiddenButton="1"/>
  </autoFilter>
  <tableColumns count="2">
    <tableColumn id="1" xr3:uid="{C8358C25-149D-9E45-8DC1-0105AE85DBCD}" name="Variable Name" dataDxfId="17"/>
    <tableColumn id="2" xr3:uid="{AB83A90B-BF3A-F442-9C13-A496BD93E37A}" name="Values" dataDxfId="16"/>
  </tableColumns>
  <tableStyleInfo name="TableStyleLight1" showFirstColumn="0" showLastColumn="0" showRowStripes="0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F53F07FA-399F-DA41-A2AF-E68600DEFF59}" name="Table2783425" displayName="Table2783425" ref="G12:G113" totalsRowShown="0" headerRowDxfId="15" dataDxfId="14">
  <autoFilter ref="G12:G113" xr:uid="{F53F07FA-399F-DA41-A2AF-E68600DEFF59}">
    <filterColumn colId="0" hiddenButton="1"/>
  </autoFilter>
  <tableColumns count="1">
    <tableColumn id="2" xr3:uid="{1D55865E-EC93-2A48-AC4B-76F548F379B8}" name="Item 2G" dataDxfId="13"/>
  </tableColumns>
  <tableStyleInfo name="TableStyleMedium9"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087D1435-BC54-FE44-945E-9FA99F6DA297}" name="Table278342526" displayName="Table278342526" ref="H12:H113" totalsRowShown="0" headerRowDxfId="12" dataDxfId="11">
  <autoFilter ref="H12:H113" xr:uid="{087D1435-BC54-FE44-945E-9FA99F6DA297}">
    <filterColumn colId="0" hiddenButton="1"/>
  </autoFilter>
  <tableColumns count="1">
    <tableColumn id="2" xr3:uid="{345C7FEA-BD6C-3949-89B0-7F4B76B91EDE}" name="Item 2H" dataDxfId="10"/>
  </tableColumns>
  <tableStyleInfo name="TableStyleMedium10" showFirstColumn="0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087834A2-67B4-024C-A902-435E2BB4157D}" name="Table27834252627" displayName="Table27834252627" ref="I12:I113" totalsRowShown="0" headerRowDxfId="9" dataDxfId="8">
  <autoFilter ref="I12:I113" xr:uid="{087834A2-67B4-024C-A902-435E2BB4157D}">
    <filterColumn colId="0" hiddenButton="1"/>
  </autoFilter>
  <tableColumns count="1">
    <tableColumn id="2" xr3:uid="{F0C6E291-E9E3-7F43-B908-1D3EB3A65902}" name="Item 2I" dataDxfId="7"/>
  </tableColumns>
  <tableStyleInfo name="TableStyleMedium11" showFirstColumn="0" showLastColumn="0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B6CEC544-7EF1-4F43-855A-9F6B7644BB25}" name="Table2783425262728" displayName="Table2783425262728" ref="J12:J113" totalsRowShown="0" headerRowDxfId="6" dataDxfId="5">
  <autoFilter ref="J12:J113" xr:uid="{B6CEC544-7EF1-4F43-855A-9F6B7644BB25}">
    <filterColumn colId="0" hiddenButton="1"/>
  </autoFilter>
  <tableColumns count="1">
    <tableColumn id="2" xr3:uid="{4789351C-FF10-7943-B8BF-06D6E859D1D4}" name="Item 2I" dataDxfId="4"/>
  </tableColumns>
  <tableStyleInfo name="TableStyleMedium12" showFirstColumn="0" showLastColumn="0" showRowStripes="1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" xr:uid="{2BB7F812-9892-0647-92D4-A7287D421A85}" name="Table43" displayName="Table43" ref="A1:A100" totalsRowShown="0" headerRowDxfId="3" dataDxfId="2">
  <autoFilter ref="A1:A100" xr:uid="{2BB7F812-9892-0647-92D4-A7287D421A85}">
    <filterColumn colId="0" hiddenButton="1"/>
  </autoFilter>
  <tableColumns count="1">
    <tableColumn id="1" xr3:uid="{0CB2305A-665C-F942-9D86-33B9AC21F119}" name="Behavior Change" dataDxfId="1">
      <calculatedColumnFormula>IF('Intenions to Adopt- Data Input'!A13="NA","NULL",IF(OR(COUNTIF('Intenions to Adopt- Data Input'!A13:J13, 4),COUNTIF('Intenions to Adopt- Data Input'!A13:J13, 5)),"Yes","No"))</calculatedColumnFormula>
    </tableColumn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32BEC1AD-09BC-6D45-959A-31B4F0E45C04}" name="Table26" displayName="Table26" ref="G9:H110" totalsRowShown="0" headerRowDxfId="112" dataDxfId="111">
  <autoFilter ref="G9:H110" xr:uid="{32BEC1AD-09BC-6D45-959A-31B4F0E45C04}">
    <filterColumn colId="0" hiddenButton="1"/>
    <filterColumn colId="1" hiddenButton="1"/>
  </autoFilter>
  <tableColumns count="2">
    <tableColumn id="1" xr3:uid="{374D76AA-E7B1-4B41-858B-A0295D1C663E}" name="BEFORE - Item 1D" dataDxfId="110"/>
    <tableColumn id="2" xr3:uid="{FF1D48E5-714F-0147-B9C4-6C8D57556946}" name="AFTER - Item 1D" dataDxfId="109"/>
  </tableColumns>
  <tableStyleInfo name="TableStyleMedium5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80AFDA8E-4203-5248-A149-828506493393}" name="Table27" displayName="Table27" ref="I9:J110" totalsRowShown="0" headerRowDxfId="108" dataDxfId="107">
  <autoFilter ref="I9:J110" xr:uid="{80AFDA8E-4203-5248-A149-828506493393}">
    <filterColumn colId="0" hiddenButton="1"/>
    <filterColumn colId="1" hiddenButton="1"/>
  </autoFilter>
  <tableColumns count="2">
    <tableColumn id="1" xr3:uid="{97439EA2-837E-8749-8C6C-BED7827674A1}" name="BEFORE - Item 1E" dataDxfId="106"/>
    <tableColumn id="2" xr3:uid="{1EE041DA-7A17-8C4D-AF36-E19927F26388}" name="AFTER - Item 1E" dataDxfId="105"/>
  </tableColumns>
  <tableStyleInfo name="TableStyleMedium6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75F22291-8CDF-3647-89DD-6DF26091589C}" name="Table278" displayName="Table278" ref="K9:L110" totalsRowShown="0" headerRowDxfId="104" dataDxfId="103">
  <autoFilter ref="K9:L110" xr:uid="{75F22291-8CDF-3647-89DD-6DF26091589C}">
    <filterColumn colId="0" hiddenButton="1"/>
    <filterColumn colId="1" hiddenButton="1"/>
  </autoFilter>
  <tableColumns count="2">
    <tableColumn id="1" xr3:uid="{0F03AB4C-9608-DB47-9A53-C12CC951DB26}" name="BEFORE- Item 1F" dataDxfId="102"/>
    <tableColumn id="2" xr3:uid="{9A40BD7B-E6E7-5048-B856-A32304CAF449}" name="AFTER- Item 1F" dataDxfId="101"/>
  </tableColumns>
  <tableStyleInfo name="TableStyleMedium7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0E44F835-350B-1249-97C5-D71EF3AD8FA9}" name="Table22" displayName="Table22" ref="A1:B5" totalsRowShown="0" headerRowDxfId="100">
  <autoFilter ref="A1:B5" xr:uid="{0E44F835-350B-1249-97C5-D71EF3AD8FA9}">
    <filterColumn colId="0" hiddenButton="1"/>
    <filterColumn colId="1" hiddenButton="1"/>
  </autoFilter>
  <tableColumns count="2">
    <tableColumn id="1" xr3:uid="{FD4E6CC1-02FF-ED44-98E8-F221BE89290A}" name="Variable Name" dataDxfId="99"/>
    <tableColumn id="2" xr3:uid="{08196A61-6E85-3841-9F09-FC55DF0A5251}" name="Values" dataDxfId="98"/>
  </tableColumns>
  <tableStyleInfo name="TableStyleLight1" showFirstColumn="0" showLastColumn="0" showRowStripes="0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7B3E176F-2967-644D-AAC4-8C4DB47D0FF2}" name="Table259" displayName="Table259" ref="M9:N110" totalsRowShown="0" headerRowDxfId="97" dataDxfId="96">
  <autoFilter ref="M9:N110" xr:uid="{7B3E176F-2967-644D-AAC4-8C4DB47D0FF2}">
    <filterColumn colId="0" hiddenButton="1"/>
    <filterColumn colId="1" hiddenButton="1"/>
  </autoFilter>
  <tableColumns count="2">
    <tableColumn id="1" xr3:uid="{CE41F6FD-F700-1440-BA7C-EA35A74A808A}" name="BEFORE - Item 1G" dataDxfId="95"/>
    <tableColumn id="2" xr3:uid="{EE29A73B-F99F-8940-B409-71941954D7A4}" name="AFTER -Item 1G" dataDxfId="94"/>
  </tableColumns>
  <tableStyleInfo name="TableStyleMedium9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23E4F6D-A67F-AC40-8CA2-A8C8B69580FE}" name="Table2610" displayName="Table2610" ref="O9:P110" totalsRowShown="0" headerRowDxfId="93" dataDxfId="92">
  <autoFilter ref="O9:P110" xr:uid="{023E4F6D-A67F-AC40-8CA2-A8C8B69580FE}">
    <filterColumn colId="0" hiddenButton="1"/>
    <filterColumn colId="1" hiddenButton="1"/>
  </autoFilter>
  <tableColumns count="2">
    <tableColumn id="1" xr3:uid="{AB6685B6-7552-4048-9C80-30AF3B765134}" name="BEFORE - Item 1H" dataDxfId="91"/>
    <tableColumn id="2" xr3:uid="{20B09899-45EE-2341-B15B-FBFD3C7D2DF4}" name="AFTER - Item 1H" dataDxfId="90"/>
  </tableColumns>
  <tableStyleInfo name="TableStyleMedium10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5" Type="http://schemas.openxmlformats.org/officeDocument/2006/relationships/table" Target="../tables/table4.xml"/><Relationship Id="rId10" Type="http://schemas.openxmlformats.org/officeDocument/2006/relationships/table" Target="../tables/table9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table" Target="../tables/table19.xml"/><Relationship Id="rId13" Type="http://schemas.openxmlformats.org/officeDocument/2006/relationships/table" Target="../tables/table24.xml"/><Relationship Id="rId3" Type="http://schemas.openxmlformats.org/officeDocument/2006/relationships/table" Target="../tables/table14.xml"/><Relationship Id="rId7" Type="http://schemas.openxmlformats.org/officeDocument/2006/relationships/table" Target="../tables/table18.xml"/><Relationship Id="rId12" Type="http://schemas.openxmlformats.org/officeDocument/2006/relationships/table" Target="../tables/table23.xml"/><Relationship Id="rId2" Type="http://schemas.openxmlformats.org/officeDocument/2006/relationships/table" Target="../tables/table13.xml"/><Relationship Id="rId1" Type="http://schemas.openxmlformats.org/officeDocument/2006/relationships/table" Target="../tables/table12.xml"/><Relationship Id="rId6" Type="http://schemas.openxmlformats.org/officeDocument/2006/relationships/table" Target="../tables/table17.xml"/><Relationship Id="rId11" Type="http://schemas.openxmlformats.org/officeDocument/2006/relationships/table" Target="../tables/table22.xml"/><Relationship Id="rId5" Type="http://schemas.openxmlformats.org/officeDocument/2006/relationships/table" Target="../tables/table16.xml"/><Relationship Id="rId10" Type="http://schemas.openxmlformats.org/officeDocument/2006/relationships/table" Target="../tables/table21.xml"/><Relationship Id="rId4" Type="http://schemas.openxmlformats.org/officeDocument/2006/relationships/table" Target="../tables/table15.xml"/><Relationship Id="rId9" Type="http://schemas.openxmlformats.org/officeDocument/2006/relationships/table" Target="../tables/table20.xml"/><Relationship Id="rId14" Type="http://schemas.openxmlformats.org/officeDocument/2006/relationships/table" Target="../tables/table25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table" Target="../tables/table32.xml"/><Relationship Id="rId3" Type="http://schemas.openxmlformats.org/officeDocument/2006/relationships/table" Target="../tables/table27.xml"/><Relationship Id="rId7" Type="http://schemas.openxmlformats.org/officeDocument/2006/relationships/table" Target="../tables/table31.xml"/><Relationship Id="rId12" Type="http://schemas.openxmlformats.org/officeDocument/2006/relationships/table" Target="../tables/table36.xml"/><Relationship Id="rId2" Type="http://schemas.openxmlformats.org/officeDocument/2006/relationships/table" Target="../tables/table26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30.xml"/><Relationship Id="rId11" Type="http://schemas.openxmlformats.org/officeDocument/2006/relationships/table" Target="../tables/table35.xml"/><Relationship Id="rId5" Type="http://schemas.openxmlformats.org/officeDocument/2006/relationships/table" Target="../tables/table29.xml"/><Relationship Id="rId10" Type="http://schemas.openxmlformats.org/officeDocument/2006/relationships/table" Target="../tables/table34.xml"/><Relationship Id="rId4" Type="http://schemas.openxmlformats.org/officeDocument/2006/relationships/table" Target="../tables/table28.xml"/><Relationship Id="rId9" Type="http://schemas.openxmlformats.org/officeDocument/2006/relationships/table" Target="../tables/table3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10"/>
  <sheetViews>
    <sheetView tabSelected="1" zoomScale="120" zoomScaleNormal="120" workbookViewId="0">
      <selection activeCell="A10" sqref="A10"/>
    </sheetView>
  </sheetViews>
  <sheetFormatPr baseColWidth="10" defaultColWidth="8.83203125" defaultRowHeight="15" x14ac:dyDescent="0.2"/>
  <cols>
    <col min="1" max="1" width="18.6640625" bestFit="1" customWidth="1"/>
    <col min="2" max="2" width="17.1640625" bestFit="1" customWidth="1"/>
    <col min="3" max="3" width="18.33203125" bestFit="1" customWidth="1"/>
    <col min="4" max="4" width="17.1640625" bestFit="1" customWidth="1"/>
    <col min="5" max="5" width="18.33203125" bestFit="1" customWidth="1"/>
    <col min="6" max="6" width="17.1640625" bestFit="1" customWidth="1"/>
    <col min="7" max="7" width="20.33203125" bestFit="1" customWidth="1"/>
    <col min="8" max="8" width="19" bestFit="1" customWidth="1"/>
    <col min="9" max="9" width="18.33203125" bestFit="1" customWidth="1"/>
    <col min="10" max="10" width="17.1640625" bestFit="1" customWidth="1"/>
    <col min="11" max="11" width="18" bestFit="1" customWidth="1"/>
    <col min="12" max="12" width="16.6640625" bestFit="1" customWidth="1"/>
    <col min="13" max="13" width="18.33203125" bestFit="1" customWidth="1"/>
    <col min="14" max="14" width="17.1640625" bestFit="1" customWidth="1"/>
    <col min="15" max="15" width="20.33203125" bestFit="1" customWidth="1"/>
    <col min="16" max="16" width="19" bestFit="1" customWidth="1"/>
    <col min="17" max="17" width="18.33203125" bestFit="1" customWidth="1"/>
    <col min="18" max="18" width="17.1640625" bestFit="1" customWidth="1"/>
    <col min="19" max="19" width="18" bestFit="1" customWidth="1"/>
    <col min="20" max="20" width="16.6640625" bestFit="1" customWidth="1"/>
  </cols>
  <sheetData>
    <row r="1" spans="1:20" x14ac:dyDescent="0.2">
      <c r="A1" s="3" t="s">
        <v>0</v>
      </c>
      <c r="B1" s="24" t="s">
        <v>1</v>
      </c>
      <c r="D1" s="31" t="s">
        <v>2</v>
      </c>
    </row>
    <row r="2" spans="1:20" x14ac:dyDescent="0.2">
      <c r="A2" s="11" t="s">
        <v>3</v>
      </c>
      <c r="B2" s="23">
        <v>1</v>
      </c>
      <c r="D2" s="101" t="s">
        <v>114</v>
      </c>
      <c r="E2" s="101"/>
      <c r="F2" s="101"/>
      <c r="G2" s="101"/>
      <c r="H2" s="101"/>
    </row>
    <row r="3" spans="1:20" x14ac:dyDescent="0.2">
      <c r="A3" s="11" t="s">
        <v>5</v>
      </c>
      <c r="B3" s="23">
        <v>2</v>
      </c>
      <c r="D3" s="101" t="s">
        <v>4</v>
      </c>
      <c r="E3" s="101"/>
      <c r="F3" s="101"/>
      <c r="G3" s="101"/>
      <c r="H3" s="101"/>
    </row>
    <row r="4" spans="1:20" x14ac:dyDescent="0.2">
      <c r="A4" s="11" t="s">
        <v>7</v>
      </c>
      <c r="B4" s="23">
        <v>3</v>
      </c>
      <c r="D4" s="101" t="s">
        <v>6</v>
      </c>
      <c r="E4" s="101"/>
      <c r="F4" s="101"/>
      <c r="G4" s="101"/>
      <c r="H4" s="101"/>
    </row>
    <row r="5" spans="1:20" x14ac:dyDescent="0.2">
      <c r="A5" s="11" t="s">
        <v>9</v>
      </c>
      <c r="B5" s="23">
        <v>4</v>
      </c>
      <c r="D5" s="100" t="s">
        <v>8</v>
      </c>
      <c r="E5" s="100"/>
      <c r="F5" s="100"/>
      <c r="G5" s="100"/>
      <c r="H5" s="100"/>
    </row>
    <row r="9" spans="1:20" x14ac:dyDescent="0.2">
      <c r="A9" s="1" t="s">
        <v>10</v>
      </c>
      <c r="B9" s="1" t="s">
        <v>11</v>
      </c>
      <c r="C9" s="1" t="s">
        <v>12</v>
      </c>
      <c r="D9" s="1" t="s">
        <v>13</v>
      </c>
      <c r="E9" s="1" t="s">
        <v>14</v>
      </c>
      <c r="F9" s="1" t="s">
        <v>15</v>
      </c>
      <c r="G9" s="1" t="s">
        <v>16</v>
      </c>
      <c r="H9" s="1" t="s">
        <v>17</v>
      </c>
      <c r="I9" s="1" t="s">
        <v>18</v>
      </c>
      <c r="J9" s="1" t="s">
        <v>19</v>
      </c>
      <c r="K9" s="1" t="s">
        <v>20</v>
      </c>
      <c r="L9" s="1" t="s">
        <v>21</v>
      </c>
      <c r="M9" s="1" t="s">
        <v>115</v>
      </c>
      <c r="N9" s="1" t="s">
        <v>116</v>
      </c>
      <c r="O9" s="1" t="s">
        <v>117</v>
      </c>
      <c r="P9" s="1" t="s">
        <v>118</v>
      </c>
      <c r="Q9" s="1" t="s">
        <v>119</v>
      </c>
      <c r="R9" s="1" t="s">
        <v>120</v>
      </c>
      <c r="S9" s="1" t="s">
        <v>121</v>
      </c>
      <c r="T9" s="1" t="s">
        <v>122</v>
      </c>
    </row>
    <row r="10" spans="1:20" x14ac:dyDescent="0.2">
      <c r="A10" s="25" t="s">
        <v>22</v>
      </c>
      <c r="B10" s="25" t="s">
        <v>22</v>
      </c>
      <c r="C10" s="25" t="s">
        <v>22</v>
      </c>
      <c r="D10" s="25" t="s">
        <v>22</v>
      </c>
      <c r="E10" s="25" t="s">
        <v>22</v>
      </c>
      <c r="F10" s="25" t="s">
        <v>22</v>
      </c>
      <c r="G10" s="25" t="s">
        <v>22</v>
      </c>
      <c r="H10" s="25" t="s">
        <v>22</v>
      </c>
      <c r="I10" s="25" t="s">
        <v>22</v>
      </c>
      <c r="J10" s="25" t="s">
        <v>22</v>
      </c>
      <c r="K10" s="25" t="s">
        <v>22</v>
      </c>
      <c r="L10" s="25" t="s">
        <v>22</v>
      </c>
      <c r="M10" s="25" t="s">
        <v>22</v>
      </c>
      <c r="N10" s="25" t="s">
        <v>22</v>
      </c>
      <c r="O10" s="25" t="s">
        <v>22</v>
      </c>
      <c r="P10" s="25" t="s">
        <v>22</v>
      </c>
      <c r="Q10" s="25" t="s">
        <v>22</v>
      </c>
      <c r="R10" s="25" t="s">
        <v>22</v>
      </c>
      <c r="S10" s="25" t="s">
        <v>22</v>
      </c>
      <c r="T10" s="25" t="s">
        <v>22</v>
      </c>
    </row>
    <row r="11" spans="1:20" x14ac:dyDescent="0.2">
      <c r="A11" s="25" t="s">
        <v>22</v>
      </c>
      <c r="B11" s="25" t="s">
        <v>22</v>
      </c>
      <c r="C11" s="25" t="s">
        <v>22</v>
      </c>
      <c r="D11" s="25" t="s">
        <v>22</v>
      </c>
      <c r="E11" s="25" t="s">
        <v>22</v>
      </c>
      <c r="F11" s="25" t="s">
        <v>22</v>
      </c>
      <c r="G11" s="25" t="s">
        <v>22</v>
      </c>
      <c r="H11" s="25" t="s">
        <v>22</v>
      </c>
      <c r="I11" s="25" t="s">
        <v>22</v>
      </c>
      <c r="J11" s="25" t="s">
        <v>22</v>
      </c>
      <c r="K11" s="25" t="s">
        <v>22</v>
      </c>
      <c r="L11" s="25" t="s">
        <v>22</v>
      </c>
      <c r="M11" s="25" t="s">
        <v>22</v>
      </c>
      <c r="N11" s="25" t="s">
        <v>22</v>
      </c>
      <c r="O11" s="25" t="s">
        <v>22</v>
      </c>
      <c r="P11" s="25" t="s">
        <v>22</v>
      </c>
      <c r="Q11" s="25" t="s">
        <v>22</v>
      </c>
      <c r="R11" s="25" t="s">
        <v>22</v>
      </c>
      <c r="S11" s="25" t="s">
        <v>22</v>
      </c>
      <c r="T11" s="25" t="s">
        <v>22</v>
      </c>
    </row>
    <row r="12" spans="1:20" x14ac:dyDescent="0.2">
      <c r="A12" s="25" t="s">
        <v>22</v>
      </c>
      <c r="B12" s="25" t="s">
        <v>22</v>
      </c>
      <c r="C12" s="25" t="s">
        <v>22</v>
      </c>
      <c r="D12" s="25" t="s">
        <v>22</v>
      </c>
      <c r="E12" s="25" t="s">
        <v>22</v>
      </c>
      <c r="F12" s="25" t="s">
        <v>22</v>
      </c>
      <c r="G12" s="25" t="s">
        <v>22</v>
      </c>
      <c r="H12" s="25" t="s">
        <v>22</v>
      </c>
      <c r="I12" s="25" t="s">
        <v>22</v>
      </c>
      <c r="J12" s="25" t="s">
        <v>22</v>
      </c>
      <c r="K12" s="25" t="s">
        <v>22</v>
      </c>
      <c r="L12" s="25" t="s">
        <v>22</v>
      </c>
      <c r="M12" s="25" t="s">
        <v>22</v>
      </c>
      <c r="N12" s="25" t="s">
        <v>22</v>
      </c>
      <c r="O12" s="25" t="s">
        <v>22</v>
      </c>
      <c r="P12" s="25" t="s">
        <v>22</v>
      </c>
      <c r="Q12" s="25" t="s">
        <v>22</v>
      </c>
      <c r="R12" s="25" t="s">
        <v>22</v>
      </c>
      <c r="S12" s="25" t="s">
        <v>22</v>
      </c>
      <c r="T12" s="25" t="s">
        <v>22</v>
      </c>
    </row>
    <row r="13" spans="1:20" x14ac:dyDescent="0.2">
      <c r="A13" s="25" t="s">
        <v>22</v>
      </c>
      <c r="B13" s="25" t="s">
        <v>22</v>
      </c>
      <c r="C13" s="25" t="s">
        <v>22</v>
      </c>
      <c r="D13" s="25" t="s">
        <v>22</v>
      </c>
      <c r="E13" s="25" t="s">
        <v>22</v>
      </c>
      <c r="F13" s="25" t="s">
        <v>22</v>
      </c>
      <c r="G13" s="25" t="s">
        <v>22</v>
      </c>
      <c r="H13" s="25" t="s">
        <v>22</v>
      </c>
      <c r="I13" s="25" t="s">
        <v>22</v>
      </c>
      <c r="J13" s="25" t="s">
        <v>22</v>
      </c>
      <c r="K13" s="25" t="s">
        <v>22</v>
      </c>
      <c r="L13" s="25" t="s">
        <v>22</v>
      </c>
      <c r="M13" s="25" t="s">
        <v>22</v>
      </c>
      <c r="N13" s="25" t="s">
        <v>22</v>
      </c>
      <c r="O13" s="25" t="s">
        <v>22</v>
      </c>
      <c r="P13" s="25" t="s">
        <v>22</v>
      </c>
      <c r="Q13" s="25" t="s">
        <v>22</v>
      </c>
      <c r="R13" s="25" t="s">
        <v>22</v>
      </c>
      <c r="S13" s="25" t="s">
        <v>22</v>
      </c>
      <c r="T13" s="25" t="s">
        <v>22</v>
      </c>
    </row>
    <row r="14" spans="1:20" x14ac:dyDescent="0.2">
      <c r="A14" s="25" t="s">
        <v>22</v>
      </c>
      <c r="B14" s="25" t="s">
        <v>22</v>
      </c>
      <c r="C14" s="25" t="s">
        <v>22</v>
      </c>
      <c r="D14" s="25" t="s">
        <v>22</v>
      </c>
      <c r="E14" s="25" t="s">
        <v>22</v>
      </c>
      <c r="F14" s="25" t="s">
        <v>22</v>
      </c>
      <c r="G14" s="25" t="s">
        <v>22</v>
      </c>
      <c r="H14" s="25" t="s">
        <v>22</v>
      </c>
      <c r="I14" s="25" t="s">
        <v>22</v>
      </c>
      <c r="J14" s="25" t="s">
        <v>22</v>
      </c>
      <c r="K14" s="25" t="s">
        <v>22</v>
      </c>
      <c r="L14" s="25" t="s">
        <v>22</v>
      </c>
      <c r="M14" s="25" t="s">
        <v>22</v>
      </c>
      <c r="N14" s="25" t="s">
        <v>22</v>
      </c>
      <c r="O14" s="25" t="s">
        <v>22</v>
      </c>
      <c r="P14" s="25" t="s">
        <v>22</v>
      </c>
      <c r="Q14" s="25" t="s">
        <v>22</v>
      </c>
      <c r="R14" s="25" t="s">
        <v>22</v>
      </c>
      <c r="S14" s="25" t="s">
        <v>22</v>
      </c>
      <c r="T14" s="25" t="s">
        <v>22</v>
      </c>
    </row>
    <row r="15" spans="1:20" x14ac:dyDescent="0.2">
      <c r="A15" s="25" t="s">
        <v>22</v>
      </c>
      <c r="B15" s="25" t="s">
        <v>22</v>
      </c>
      <c r="C15" s="25" t="s">
        <v>22</v>
      </c>
      <c r="D15" s="25" t="s">
        <v>22</v>
      </c>
      <c r="E15" s="25" t="s">
        <v>22</v>
      </c>
      <c r="F15" s="25" t="s">
        <v>22</v>
      </c>
      <c r="G15" s="25" t="s">
        <v>22</v>
      </c>
      <c r="H15" s="25" t="s">
        <v>22</v>
      </c>
      <c r="I15" s="25" t="s">
        <v>22</v>
      </c>
      <c r="J15" s="25" t="s">
        <v>22</v>
      </c>
      <c r="K15" s="25" t="s">
        <v>22</v>
      </c>
      <c r="L15" s="25" t="s">
        <v>22</v>
      </c>
      <c r="M15" s="25" t="s">
        <v>22</v>
      </c>
      <c r="N15" s="25" t="s">
        <v>22</v>
      </c>
      <c r="O15" s="25" t="s">
        <v>22</v>
      </c>
      <c r="P15" s="25" t="s">
        <v>22</v>
      </c>
      <c r="Q15" s="25" t="s">
        <v>22</v>
      </c>
      <c r="R15" s="25" t="s">
        <v>22</v>
      </c>
      <c r="S15" s="25" t="s">
        <v>22</v>
      </c>
      <c r="T15" s="25" t="s">
        <v>22</v>
      </c>
    </row>
    <row r="16" spans="1:20" x14ac:dyDescent="0.2">
      <c r="A16" s="25" t="s">
        <v>22</v>
      </c>
      <c r="B16" s="25" t="s">
        <v>22</v>
      </c>
      <c r="C16" s="25" t="s">
        <v>22</v>
      </c>
      <c r="D16" s="25" t="s">
        <v>22</v>
      </c>
      <c r="E16" s="25" t="s">
        <v>22</v>
      </c>
      <c r="F16" s="25" t="s">
        <v>22</v>
      </c>
      <c r="G16" s="25" t="s">
        <v>22</v>
      </c>
      <c r="H16" s="25" t="s">
        <v>22</v>
      </c>
      <c r="I16" s="25" t="s">
        <v>22</v>
      </c>
      <c r="J16" s="25" t="s">
        <v>22</v>
      </c>
      <c r="K16" s="25" t="s">
        <v>22</v>
      </c>
      <c r="L16" s="25" t="s">
        <v>22</v>
      </c>
      <c r="M16" s="25" t="s">
        <v>22</v>
      </c>
      <c r="N16" s="25" t="s">
        <v>22</v>
      </c>
      <c r="O16" s="25" t="s">
        <v>22</v>
      </c>
      <c r="P16" s="25" t="s">
        <v>22</v>
      </c>
      <c r="Q16" s="25" t="s">
        <v>22</v>
      </c>
      <c r="R16" s="25" t="s">
        <v>22</v>
      </c>
      <c r="S16" s="25" t="s">
        <v>22</v>
      </c>
      <c r="T16" s="25" t="s">
        <v>22</v>
      </c>
    </row>
    <row r="17" spans="1:20" x14ac:dyDescent="0.2">
      <c r="A17" s="25" t="s">
        <v>22</v>
      </c>
      <c r="B17" s="25" t="s">
        <v>22</v>
      </c>
      <c r="C17" s="25" t="s">
        <v>22</v>
      </c>
      <c r="D17" s="25" t="s">
        <v>22</v>
      </c>
      <c r="E17" s="25" t="s">
        <v>22</v>
      </c>
      <c r="F17" s="25" t="s">
        <v>22</v>
      </c>
      <c r="G17" s="25" t="s">
        <v>22</v>
      </c>
      <c r="H17" s="25" t="s">
        <v>22</v>
      </c>
      <c r="I17" s="25" t="s">
        <v>22</v>
      </c>
      <c r="J17" s="25" t="s">
        <v>22</v>
      </c>
      <c r="K17" s="25" t="s">
        <v>22</v>
      </c>
      <c r="L17" s="25" t="s">
        <v>22</v>
      </c>
      <c r="M17" s="25" t="s">
        <v>22</v>
      </c>
      <c r="N17" s="25" t="s">
        <v>22</v>
      </c>
      <c r="O17" s="25" t="s">
        <v>22</v>
      </c>
      <c r="P17" s="25" t="s">
        <v>22</v>
      </c>
      <c r="Q17" s="25" t="s">
        <v>22</v>
      </c>
      <c r="R17" s="25" t="s">
        <v>22</v>
      </c>
      <c r="S17" s="25" t="s">
        <v>22</v>
      </c>
      <c r="T17" s="25" t="s">
        <v>22</v>
      </c>
    </row>
    <row r="18" spans="1:20" x14ac:dyDescent="0.2">
      <c r="A18" s="25" t="s">
        <v>22</v>
      </c>
      <c r="B18" s="25" t="s">
        <v>22</v>
      </c>
      <c r="C18" s="25" t="s">
        <v>22</v>
      </c>
      <c r="D18" s="25" t="s">
        <v>22</v>
      </c>
      <c r="E18" s="25" t="s">
        <v>22</v>
      </c>
      <c r="F18" s="25" t="s">
        <v>22</v>
      </c>
      <c r="G18" s="25" t="s">
        <v>22</v>
      </c>
      <c r="H18" s="25" t="s">
        <v>22</v>
      </c>
      <c r="I18" s="25" t="s">
        <v>22</v>
      </c>
      <c r="J18" s="25" t="s">
        <v>22</v>
      </c>
      <c r="K18" s="25" t="s">
        <v>22</v>
      </c>
      <c r="L18" s="25" t="s">
        <v>22</v>
      </c>
      <c r="M18" s="25" t="s">
        <v>22</v>
      </c>
      <c r="N18" s="25" t="s">
        <v>22</v>
      </c>
      <c r="O18" s="25" t="s">
        <v>22</v>
      </c>
      <c r="P18" s="25" t="s">
        <v>22</v>
      </c>
      <c r="Q18" s="25" t="s">
        <v>22</v>
      </c>
      <c r="R18" s="25" t="s">
        <v>22</v>
      </c>
      <c r="S18" s="25" t="s">
        <v>22</v>
      </c>
      <c r="T18" s="25" t="s">
        <v>22</v>
      </c>
    </row>
    <row r="19" spans="1:20" x14ac:dyDescent="0.2">
      <c r="A19" s="25" t="s">
        <v>22</v>
      </c>
      <c r="B19" s="25" t="s">
        <v>22</v>
      </c>
      <c r="C19" s="25" t="s">
        <v>22</v>
      </c>
      <c r="D19" s="25" t="s">
        <v>22</v>
      </c>
      <c r="E19" s="25" t="s">
        <v>22</v>
      </c>
      <c r="F19" s="25" t="s">
        <v>22</v>
      </c>
      <c r="G19" s="25" t="s">
        <v>22</v>
      </c>
      <c r="H19" s="25" t="s">
        <v>22</v>
      </c>
      <c r="I19" s="25" t="s">
        <v>22</v>
      </c>
      <c r="J19" s="25" t="s">
        <v>22</v>
      </c>
      <c r="K19" s="25" t="s">
        <v>22</v>
      </c>
      <c r="L19" s="25" t="s">
        <v>22</v>
      </c>
      <c r="M19" s="25" t="s">
        <v>22</v>
      </c>
      <c r="N19" s="25" t="s">
        <v>22</v>
      </c>
      <c r="O19" s="25" t="s">
        <v>22</v>
      </c>
      <c r="P19" s="25" t="s">
        <v>22</v>
      </c>
      <c r="Q19" s="25" t="s">
        <v>22</v>
      </c>
      <c r="R19" s="25" t="s">
        <v>22</v>
      </c>
      <c r="S19" s="25" t="s">
        <v>22</v>
      </c>
      <c r="T19" s="25" t="s">
        <v>22</v>
      </c>
    </row>
    <row r="20" spans="1:20" x14ac:dyDescent="0.2">
      <c r="A20" s="25" t="s">
        <v>22</v>
      </c>
      <c r="B20" s="25" t="s">
        <v>22</v>
      </c>
      <c r="C20" s="25" t="s">
        <v>22</v>
      </c>
      <c r="D20" s="25" t="s">
        <v>22</v>
      </c>
      <c r="E20" s="25" t="s">
        <v>22</v>
      </c>
      <c r="F20" s="25" t="s">
        <v>22</v>
      </c>
      <c r="G20" s="25" t="s">
        <v>22</v>
      </c>
      <c r="H20" s="25" t="s">
        <v>22</v>
      </c>
      <c r="I20" s="25" t="s">
        <v>22</v>
      </c>
      <c r="J20" s="25" t="s">
        <v>22</v>
      </c>
      <c r="K20" s="25" t="s">
        <v>22</v>
      </c>
      <c r="L20" s="25" t="s">
        <v>22</v>
      </c>
      <c r="M20" s="25" t="s">
        <v>22</v>
      </c>
      <c r="N20" s="25" t="s">
        <v>22</v>
      </c>
      <c r="O20" s="25" t="s">
        <v>22</v>
      </c>
      <c r="P20" s="25" t="s">
        <v>22</v>
      </c>
      <c r="Q20" s="25" t="s">
        <v>22</v>
      </c>
      <c r="R20" s="25" t="s">
        <v>22</v>
      </c>
      <c r="S20" s="25" t="s">
        <v>22</v>
      </c>
      <c r="T20" s="25" t="s">
        <v>22</v>
      </c>
    </row>
    <row r="21" spans="1:20" x14ac:dyDescent="0.2">
      <c r="A21" s="25" t="s">
        <v>22</v>
      </c>
      <c r="B21" s="25" t="s">
        <v>22</v>
      </c>
      <c r="C21" s="25" t="s">
        <v>22</v>
      </c>
      <c r="D21" s="25" t="s">
        <v>22</v>
      </c>
      <c r="E21" s="25" t="s">
        <v>22</v>
      </c>
      <c r="F21" s="25" t="s">
        <v>22</v>
      </c>
      <c r="G21" s="25" t="s">
        <v>22</v>
      </c>
      <c r="H21" s="25" t="s">
        <v>22</v>
      </c>
      <c r="I21" s="25" t="s">
        <v>22</v>
      </c>
      <c r="J21" s="25" t="s">
        <v>22</v>
      </c>
      <c r="K21" s="25" t="s">
        <v>22</v>
      </c>
      <c r="L21" s="25" t="s">
        <v>22</v>
      </c>
      <c r="M21" s="25" t="s">
        <v>22</v>
      </c>
      <c r="N21" s="25" t="s">
        <v>22</v>
      </c>
      <c r="O21" s="25" t="s">
        <v>22</v>
      </c>
      <c r="P21" s="25" t="s">
        <v>22</v>
      </c>
      <c r="Q21" s="25" t="s">
        <v>22</v>
      </c>
      <c r="R21" s="25" t="s">
        <v>22</v>
      </c>
      <c r="S21" s="25" t="s">
        <v>22</v>
      </c>
      <c r="T21" s="25" t="s">
        <v>22</v>
      </c>
    </row>
    <row r="22" spans="1:20" x14ac:dyDescent="0.2">
      <c r="A22" s="25" t="s">
        <v>22</v>
      </c>
      <c r="B22" s="25" t="s">
        <v>22</v>
      </c>
      <c r="C22" s="25" t="s">
        <v>22</v>
      </c>
      <c r="D22" s="25" t="s">
        <v>22</v>
      </c>
      <c r="E22" s="25" t="s">
        <v>22</v>
      </c>
      <c r="F22" s="25" t="s">
        <v>22</v>
      </c>
      <c r="G22" s="25" t="s">
        <v>22</v>
      </c>
      <c r="H22" s="25" t="s">
        <v>22</v>
      </c>
      <c r="I22" s="25" t="s">
        <v>22</v>
      </c>
      <c r="J22" s="25" t="s">
        <v>22</v>
      </c>
      <c r="K22" s="25" t="s">
        <v>22</v>
      </c>
      <c r="L22" s="25" t="s">
        <v>22</v>
      </c>
      <c r="M22" s="25" t="s">
        <v>22</v>
      </c>
      <c r="N22" s="25" t="s">
        <v>22</v>
      </c>
      <c r="O22" s="25" t="s">
        <v>22</v>
      </c>
      <c r="P22" s="25" t="s">
        <v>22</v>
      </c>
      <c r="Q22" s="25" t="s">
        <v>22</v>
      </c>
      <c r="R22" s="25" t="s">
        <v>22</v>
      </c>
      <c r="S22" s="25" t="s">
        <v>22</v>
      </c>
      <c r="T22" s="25" t="s">
        <v>22</v>
      </c>
    </row>
    <row r="23" spans="1:20" x14ac:dyDescent="0.2">
      <c r="A23" s="25" t="s">
        <v>22</v>
      </c>
      <c r="B23" s="25" t="s">
        <v>22</v>
      </c>
      <c r="C23" s="25" t="s">
        <v>22</v>
      </c>
      <c r="D23" s="25" t="s">
        <v>22</v>
      </c>
      <c r="E23" s="25" t="s">
        <v>22</v>
      </c>
      <c r="F23" s="25" t="s">
        <v>22</v>
      </c>
      <c r="G23" s="25" t="s">
        <v>22</v>
      </c>
      <c r="H23" s="25" t="s">
        <v>22</v>
      </c>
      <c r="I23" s="25" t="s">
        <v>22</v>
      </c>
      <c r="J23" s="25" t="s">
        <v>22</v>
      </c>
      <c r="K23" s="25" t="s">
        <v>22</v>
      </c>
      <c r="L23" s="25" t="s">
        <v>22</v>
      </c>
      <c r="M23" s="25" t="s">
        <v>22</v>
      </c>
      <c r="N23" s="25" t="s">
        <v>22</v>
      </c>
      <c r="O23" s="25" t="s">
        <v>22</v>
      </c>
      <c r="P23" s="25" t="s">
        <v>22</v>
      </c>
      <c r="Q23" s="25" t="s">
        <v>22</v>
      </c>
      <c r="R23" s="25" t="s">
        <v>22</v>
      </c>
      <c r="S23" s="25" t="s">
        <v>22</v>
      </c>
      <c r="T23" s="25" t="s">
        <v>22</v>
      </c>
    </row>
    <row r="24" spans="1:20" x14ac:dyDescent="0.2">
      <c r="A24" s="25" t="s">
        <v>22</v>
      </c>
      <c r="B24" s="25" t="s">
        <v>22</v>
      </c>
      <c r="C24" s="25" t="s">
        <v>22</v>
      </c>
      <c r="D24" s="25" t="s">
        <v>22</v>
      </c>
      <c r="E24" s="25" t="s">
        <v>22</v>
      </c>
      <c r="F24" s="25" t="s">
        <v>22</v>
      </c>
      <c r="G24" s="25" t="s">
        <v>22</v>
      </c>
      <c r="H24" s="25" t="s">
        <v>22</v>
      </c>
      <c r="I24" s="25" t="s">
        <v>22</v>
      </c>
      <c r="J24" s="25" t="s">
        <v>22</v>
      </c>
      <c r="K24" s="25" t="s">
        <v>22</v>
      </c>
      <c r="L24" s="25" t="s">
        <v>22</v>
      </c>
      <c r="M24" s="25" t="s">
        <v>22</v>
      </c>
      <c r="N24" s="25" t="s">
        <v>22</v>
      </c>
      <c r="O24" s="25" t="s">
        <v>22</v>
      </c>
      <c r="P24" s="25" t="s">
        <v>22</v>
      </c>
      <c r="Q24" s="25" t="s">
        <v>22</v>
      </c>
      <c r="R24" s="25" t="s">
        <v>22</v>
      </c>
      <c r="S24" s="25" t="s">
        <v>22</v>
      </c>
      <c r="T24" s="25" t="s">
        <v>22</v>
      </c>
    </row>
    <row r="25" spans="1:20" x14ac:dyDescent="0.2">
      <c r="A25" s="25" t="s">
        <v>22</v>
      </c>
      <c r="B25" s="25" t="s">
        <v>22</v>
      </c>
      <c r="C25" s="25" t="s">
        <v>22</v>
      </c>
      <c r="D25" s="25" t="s">
        <v>22</v>
      </c>
      <c r="E25" s="25" t="s">
        <v>22</v>
      </c>
      <c r="F25" s="25" t="s">
        <v>22</v>
      </c>
      <c r="G25" s="25" t="s">
        <v>22</v>
      </c>
      <c r="H25" s="25" t="s">
        <v>22</v>
      </c>
      <c r="I25" s="25" t="s">
        <v>22</v>
      </c>
      <c r="J25" s="25" t="s">
        <v>22</v>
      </c>
      <c r="K25" s="25" t="s">
        <v>22</v>
      </c>
      <c r="L25" s="25" t="s">
        <v>22</v>
      </c>
      <c r="M25" s="25" t="s">
        <v>22</v>
      </c>
      <c r="N25" s="25" t="s">
        <v>22</v>
      </c>
      <c r="O25" s="25" t="s">
        <v>22</v>
      </c>
      <c r="P25" s="25" t="s">
        <v>22</v>
      </c>
      <c r="Q25" s="25" t="s">
        <v>22</v>
      </c>
      <c r="R25" s="25" t="s">
        <v>22</v>
      </c>
      <c r="S25" s="25" t="s">
        <v>22</v>
      </c>
      <c r="T25" s="25" t="s">
        <v>22</v>
      </c>
    </row>
    <row r="26" spans="1:20" x14ac:dyDescent="0.2">
      <c r="A26" s="25" t="s">
        <v>22</v>
      </c>
      <c r="B26" s="25" t="s">
        <v>22</v>
      </c>
      <c r="C26" s="25" t="s">
        <v>22</v>
      </c>
      <c r="D26" s="25" t="s">
        <v>22</v>
      </c>
      <c r="E26" s="25" t="s">
        <v>22</v>
      </c>
      <c r="F26" s="25" t="s">
        <v>22</v>
      </c>
      <c r="G26" s="25" t="s">
        <v>22</v>
      </c>
      <c r="H26" s="25" t="s">
        <v>22</v>
      </c>
      <c r="I26" s="25" t="s">
        <v>22</v>
      </c>
      <c r="J26" s="25" t="s">
        <v>22</v>
      </c>
      <c r="K26" s="25" t="s">
        <v>22</v>
      </c>
      <c r="L26" s="25" t="s">
        <v>22</v>
      </c>
      <c r="M26" s="25" t="s">
        <v>22</v>
      </c>
      <c r="N26" s="25" t="s">
        <v>22</v>
      </c>
      <c r="O26" s="25" t="s">
        <v>22</v>
      </c>
      <c r="P26" s="25" t="s">
        <v>22</v>
      </c>
      <c r="Q26" s="25" t="s">
        <v>22</v>
      </c>
      <c r="R26" s="25" t="s">
        <v>22</v>
      </c>
      <c r="S26" s="25" t="s">
        <v>22</v>
      </c>
      <c r="T26" s="25" t="s">
        <v>22</v>
      </c>
    </row>
    <row r="27" spans="1:20" x14ac:dyDescent="0.2">
      <c r="A27" s="25" t="s">
        <v>22</v>
      </c>
      <c r="B27" s="25" t="s">
        <v>22</v>
      </c>
      <c r="C27" s="25" t="s">
        <v>22</v>
      </c>
      <c r="D27" s="25" t="s">
        <v>22</v>
      </c>
      <c r="E27" s="25" t="s">
        <v>22</v>
      </c>
      <c r="F27" s="25" t="s">
        <v>22</v>
      </c>
      <c r="G27" s="25" t="s">
        <v>22</v>
      </c>
      <c r="H27" s="25" t="s">
        <v>22</v>
      </c>
      <c r="I27" s="25" t="s">
        <v>22</v>
      </c>
      <c r="J27" s="25" t="s">
        <v>22</v>
      </c>
      <c r="K27" s="25" t="s">
        <v>22</v>
      </c>
      <c r="L27" s="25" t="s">
        <v>22</v>
      </c>
      <c r="M27" s="25" t="s">
        <v>22</v>
      </c>
      <c r="N27" s="25" t="s">
        <v>22</v>
      </c>
      <c r="O27" s="25" t="s">
        <v>22</v>
      </c>
      <c r="P27" s="25" t="s">
        <v>22</v>
      </c>
      <c r="Q27" s="25" t="s">
        <v>22</v>
      </c>
      <c r="R27" s="25" t="s">
        <v>22</v>
      </c>
      <c r="S27" s="25" t="s">
        <v>22</v>
      </c>
      <c r="T27" s="25" t="s">
        <v>22</v>
      </c>
    </row>
    <row r="28" spans="1:20" x14ac:dyDescent="0.2">
      <c r="A28" s="25" t="s">
        <v>22</v>
      </c>
      <c r="B28" s="25" t="s">
        <v>22</v>
      </c>
      <c r="C28" s="25" t="s">
        <v>22</v>
      </c>
      <c r="D28" s="25" t="s">
        <v>22</v>
      </c>
      <c r="E28" s="25" t="s">
        <v>22</v>
      </c>
      <c r="F28" s="25" t="s">
        <v>22</v>
      </c>
      <c r="G28" s="25" t="s">
        <v>22</v>
      </c>
      <c r="H28" s="25" t="s">
        <v>22</v>
      </c>
      <c r="I28" s="25" t="s">
        <v>22</v>
      </c>
      <c r="J28" s="25" t="s">
        <v>22</v>
      </c>
      <c r="K28" s="25" t="s">
        <v>22</v>
      </c>
      <c r="L28" s="25" t="s">
        <v>22</v>
      </c>
      <c r="M28" s="25" t="s">
        <v>22</v>
      </c>
      <c r="N28" s="25" t="s">
        <v>22</v>
      </c>
      <c r="O28" s="25" t="s">
        <v>22</v>
      </c>
      <c r="P28" s="25" t="s">
        <v>22</v>
      </c>
      <c r="Q28" s="25" t="s">
        <v>22</v>
      </c>
      <c r="R28" s="25" t="s">
        <v>22</v>
      </c>
      <c r="S28" s="25" t="s">
        <v>22</v>
      </c>
      <c r="T28" s="25" t="s">
        <v>22</v>
      </c>
    </row>
    <row r="29" spans="1:20" x14ac:dyDescent="0.2">
      <c r="A29" s="25" t="s">
        <v>22</v>
      </c>
      <c r="B29" s="25" t="s">
        <v>22</v>
      </c>
      <c r="C29" s="25" t="s">
        <v>22</v>
      </c>
      <c r="D29" s="25" t="s">
        <v>22</v>
      </c>
      <c r="E29" s="25" t="s">
        <v>22</v>
      </c>
      <c r="F29" s="25" t="s">
        <v>22</v>
      </c>
      <c r="G29" s="25" t="s">
        <v>22</v>
      </c>
      <c r="H29" s="25" t="s">
        <v>22</v>
      </c>
      <c r="I29" s="25" t="s">
        <v>22</v>
      </c>
      <c r="J29" s="25" t="s">
        <v>22</v>
      </c>
      <c r="K29" s="25" t="s">
        <v>22</v>
      </c>
      <c r="L29" s="25" t="s">
        <v>22</v>
      </c>
      <c r="M29" s="25" t="s">
        <v>22</v>
      </c>
      <c r="N29" s="25" t="s">
        <v>22</v>
      </c>
      <c r="O29" s="25" t="s">
        <v>22</v>
      </c>
      <c r="P29" s="25" t="s">
        <v>22</v>
      </c>
      <c r="Q29" s="25" t="s">
        <v>22</v>
      </c>
      <c r="R29" s="25" t="s">
        <v>22</v>
      </c>
      <c r="S29" s="25" t="s">
        <v>22</v>
      </c>
      <c r="T29" s="25" t="s">
        <v>22</v>
      </c>
    </row>
    <row r="30" spans="1:20" x14ac:dyDescent="0.2">
      <c r="A30" s="25" t="s">
        <v>22</v>
      </c>
      <c r="B30" s="25" t="s">
        <v>22</v>
      </c>
      <c r="C30" s="25" t="s">
        <v>22</v>
      </c>
      <c r="D30" s="25" t="s">
        <v>22</v>
      </c>
      <c r="E30" s="25" t="s">
        <v>22</v>
      </c>
      <c r="F30" s="25" t="s">
        <v>22</v>
      </c>
      <c r="G30" s="25" t="s">
        <v>22</v>
      </c>
      <c r="H30" s="25" t="s">
        <v>22</v>
      </c>
      <c r="I30" s="25" t="s">
        <v>22</v>
      </c>
      <c r="J30" s="25" t="s">
        <v>22</v>
      </c>
      <c r="K30" s="25" t="s">
        <v>22</v>
      </c>
      <c r="L30" s="25" t="s">
        <v>22</v>
      </c>
      <c r="M30" s="25" t="s">
        <v>22</v>
      </c>
      <c r="N30" s="25" t="s">
        <v>22</v>
      </c>
      <c r="O30" s="25" t="s">
        <v>22</v>
      </c>
      <c r="P30" s="25" t="s">
        <v>22</v>
      </c>
      <c r="Q30" s="25" t="s">
        <v>22</v>
      </c>
      <c r="R30" s="25" t="s">
        <v>22</v>
      </c>
      <c r="S30" s="25" t="s">
        <v>22</v>
      </c>
      <c r="T30" s="25" t="s">
        <v>22</v>
      </c>
    </row>
    <row r="31" spans="1:20" x14ac:dyDescent="0.2">
      <c r="A31" s="25" t="s">
        <v>22</v>
      </c>
      <c r="B31" s="25" t="s">
        <v>22</v>
      </c>
      <c r="C31" s="25" t="s">
        <v>22</v>
      </c>
      <c r="D31" s="25" t="s">
        <v>22</v>
      </c>
      <c r="E31" s="25" t="s">
        <v>22</v>
      </c>
      <c r="F31" s="25" t="s">
        <v>22</v>
      </c>
      <c r="G31" s="25" t="s">
        <v>22</v>
      </c>
      <c r="H31" s="25" t="s">
        <v>22</v>
      </c>
      <c r="I31" s="25" t="s">
        <v>22</v>
      </c>
      <c r="J31" s="25" t="s">
        <v>22</v>
      </c>
      <c r="K31" s="25" t="s">
        <v>22</v>
      </c>
      <c r="L31" s="25" t="s">
        <v>22</v>
      </c>
      <c r="M31" s="25" t="s">
        <v>22</v>
      </c>
      <c r="N31" s="25" t="s">
        <v>22</v>
      </c>
      <c r="O31" s="25" t="s">
        <v>22</v>
      </c>
      <c r="P31" s="25" t="s">
        <v>22</v>
      </c>
      <c r="Q31" s="25" t="s">
        <v>22</v>
      </c>
      <c r="R31" s="25" t="s">
        <v>22</v>
      </c>
      <c r="S31" s="25" t="s">
        <v>22</v>
      </c>
      <c r="T31" s="25" t="s">
        <v>22</v>
      </c>
    </row>
    <row r="32" spans="1:20" x14ac:dyDescent="0.2">
      <c r="A32" s="25" t="s">
        <v>22</v>
      </c>
      <c r="B32" s="25" t="s">
        <v>22</v>
      </c>
      <c r="C32" s="25" t="s">
        <v>22</v>
      </c>
      <c r="D32" s="25" t="s">
        <v>22</v>
      </c>
      <c r="E32" s="25" t="s">
        <v>22</v>
      </c>
      <c r="F32" s="25" t="s">
        <v>22</v>
      </c>
      <c r="G32" s="25" t="s">
        <v>22</v>
      </c>
      <c r="H32" s="25" t="s">
        <v>22</v>
      </c>
      <c r="I32" s="25" t="s">
        <v>22</v>
      </c>
      <c r="J32" s="25" t="s">
        <v>22</v>
      </c>
      <c r="K32" s="25" t="s">
        <v>22</v>
      </c>
      <c r="L32" s="25" t="s">
        <v>22</v>
      </c>
      <c r="M32" s="25" t="s">
        <v>22</v>
      </c>
      <c r="N32" s="25" t="s">
        <v>22</v>
      </c>
      <c r="O32" s="25" t="s">
        <v>22</v>
      </c>
      <c r="P32" s="25" t="s">
        <v>22</v>
      </c>
      <c r="Q32" s="25" t="s">
        <v>22</v>
      </c>
      <c r="R32" s="25" t="s">
        <v>22</v>
      </c>
      <c r="S32" s="25" t="s">
        <v>22</v>
      </c>
      <c r="T32" s="25" t="s">
        <v>22</v>
      </c>
    </row>
    <row r="33" spans="1:20" x14ac:dyDescent="0.2">
      <c r="A33" s="25" t="s">
        <v>22</v>
      </c>
      <c r="B33" s="25" t="s">
        <v>22</v>
      </c>
      <c r="C33" s="25" t="s">
        <v>22</v>
      </c>
      <c r="D33" s="25" t="s">
        <v>22</v>
      </c>
      <c r="E33" s="25" t="s">
        <v>22</v>
      </c>
      <c r="F33" s="25" t="s">
        <v>22</v>
      </c>
      <c r="G33" s="25" t="s">
        <v>22</v>
      </c>
      <c r="H33" s="25" t="s">
        <v>22</v>
      </c>
      <c r="I33" s="25" t="s">
        <v>22</v>
      </c>
      <c r="J33" s="25" t="s">
        <v>22</v>
      </c>
      <c r="K33" s="25" t="s">
        <v>22</v>
      </c>
      <c r="L33" s="25" t="s">
        <v>22</v>
      </c>
      <c r="M33" s="25" t="s">
        <v>22</v>
      </c>
      <c r="N33" s="25" t="s">
        <v>22</v>
      </c>
      <c r="O33" s="25" t="s">
        <v>22</v>
      </c>
      <c r="P33" s="25" t="s">
        <v>22</v>
      </c>
      <c r="Q33" s="25" t="s">
        <v>22</v>
      </c>
      <c r="R33" s="25" t="s">
        <v>22</v>
      </c>
      <c r="S33" s="25" t="s">
        <v>22</v>
      </c>
      <c r="T33" s="25" t="s">
        <v>22</v>
      </c>
    </row>
    <row r="34" spans="1:20" x14ac:dyDescent="0.2">
      <c r="A34" s="25" t="s">
        <v>22</v>
      </c>
      <c r="B34" s="25" t="s">
        <v>22</v>
      </c>
      <c r="C34" s="25" t="s">
        <v>22</v>
      </c>
      <c r="D34" s="25" t="s">
        <v>22</v>
      </c>
      <c r="E34" s="25" t="s">
        <v>22</v>
      </c>
      <c r="F34" s="25" t="s">
        <v>22</v>
      </c>
      <c r="G34" s="25" t="s">
        <v>22</v>
      </c>
      <c r="H34" s="25" t="s">
        <v>22</v>
      </c>
      <c r="I34" s="25" t="s">
        <v>22</v>
      </c>
      <c r="J34" s="25" t="s">
        <v>22</v>
      </c>
      <c r="K34" s="25" t="s">
        <v>22</v>
      </c>
      <c r="L34" s="25" t="s">
        <v>22</v>
      </c>
      <c r="M34" s="25" t="s">
        <v>22</v>
      </c>
      <c r="N34" s="25" t="s">
        <v>22</v>
      </c>
      <c r="O34" s="25" t="s">
        <v>22</v>
      </c>
      <c r="P34" s="25" t="s">
        <v>22</v>
      </c>
      <c r="Q34" s="25" t="s">
        <v>22</v>
      </c>
      <c r="R34" s="25" t="s">
        <v>22</v>
      </c>
      <c r="S34" s="25" t="s">
        <v>22</v>
      </c>
      <c r="T34" s="25" t="s">
        <v>22</v>
      </c>
    </row>
    <row r="35" spans="1:20" x14ac:dyDescent="0.2">
      <c r="A35" s="25" t="s">
        <v>22</v>
      </c>
      <c r="B35" s="25" t="s">
        <v>22</v>
      </c>
      <c r="C35" s="25" t="s">
        <v>22</v>
      </c>
      <c r="D35" s="25" t="s">
        <v>22</v>
      </c>
      <c r="E35" s="25" t="s">
        <v>22</v>
      </c>
      <c r="F35" s="25" t="s">
        <v>22</v>
      </c>
      <c r="G35" s="25" t="s">
        <v>22</v>
      </c>
      <c r="H35" s="25" t="s">
        <v>22</v>
      </c>
      <c r="I35" s="25" t="s">
        <v>22</v>
      </c>
      <c r="J35" s="25" t="s">
        <v>22</v>
      </c>
      <c r="K35" s="25" t="s">
        <v>22</v>
      </c>
      <c r="L35" s="25" t="s">
        <v>22</v>
      </c>
      <c r="M35" s="25" t="s">
        <v>22</v>
      </c>
      <c r="N35" s="25" t="s">
        <v>22</v>
      </c>
      <c r="O35" s="25" t="s">
        <v>22</v>
      </c>
      <c r="P35" s="25" t="s">
        <v>22</v>
      </c>
      <c r="Q35" s="25" t="s">
        <v>22</v>
      </c>
      <c r="R35" s="25" t="s">
        <v>22</v>
      </c>
      <c r="S35" s="25" t="s">
        <v>22</v>
      </c>
      <c r="T35" s="25" t="s">
        <v>22</v>
      </c>
    </row>
    <row r="36" spans="1:20" x14ac:dyDescent="0.2">
      <c r="A36" s="25" t="s">
        <v>22</v>
      </c>
      <c r="B36" s="25" t="s">
        <v>22</v>
      </c>
      <c r="C36" s="25" t="s">
        <v>22</v>
      </c>
      <c r="D36" s="25" t="s">
        <v>22</v>
      </c>
      <c r="E36" s="25" t="s">
        <v>22</v>
      </c>
      <c r="F36" s="25" t="s">
        <v>22</v>
      </c>
      <c r="G36" s="25" t="s">
        <v>22</v>
      </c>
      <c r="H36" s="25" t="s">
        <v>22</v>
      </c>
      <c r="I36" s="25" t="s">
        <v>22</v>
      </c>
      <c r="J36" s="25" t="s">
        <v>22</v>
      </c>
      <c r="K36" s="25" t="s">
        <v>22</v>
      </c>
      <c r="L36" s="25" t="s">
        <v>22</v>
      </c>
      <c r="M36" s="25" t="s">
        <v>22</v>
      </c>
      <c r="N36" s="25" t="s">
        <v>22</v>
      </c>
      <c r="O36" s="25" t="s">
        <v>22</v>
      </c>
      <c r="P36" s="25" t="s">
        <v>22</v>
      </c>
      <c r="Q36" s="25" t="s">
        <v>22</v>
      </c>
      <c r="R36" s="25" t="s">
        <v>22</v>
      </c>
      <c r="S36" s="25" t="s">
        <v>22</v>
      </c>
      <c r="T36" s="25" t="s">
        <v>22</v>
      </c>
    </row>
    <row r="37" spans="1:20" x14ac:dyDescent="0.2">
      <c r="A37" s="25" t="s">
        <v>22</v>
      </c>
      <c r="B37" s="25" t="s">
        <v>22</v>
      </c>
      <c r="C37" s="25" t="s">
        <v>22</v>
      </c>
      <c r="D37" s="25" t="s">
        <v>22</v>
      </c>
      <c r="E37" s="25" t="s">
        <v>22</v>
      </c>
      <c r="F37" s="25" t="s">
        <v>22</v>
      </c>
      <c r="G37" s="25" t="s">
        <v>22</v>
      </c>
      <c r="H37" s="25" t="s">
        <v>22</v>
      </c>
      <c r="I37" s="25" t="s">
        <v>22</v>
      </c>
      <c r="J37" s="25" t="s">
        <v>22</v>
      </c>
      <c r="K37" s="25" t="s">
        <v>22</v>
      </c>
      <c r="L37" s="25" t="s">
        <v>22</v>
      </c>
      <c r="M37" s="25" t="s">
        <v>22</v>
      </c>
      <c r="N37" s="25" t="s">
        <v>22</v>
      </c>
      <c r="O37" s="25" t="s">
        <v>22</v>
      </c>
      <c r="P37" s="25" t="s">
        <v>22</v>
      </c>
      <c r="Q37" s="25" t="s">
        <v>22</v>
      </c>
      <c r="R37" s="25" t="s">
        <v>22</v>
      </c>
      <c r="S37" s="25" t="s">
        <v>22</v>
      </c>
      <c r="T37" s="25" t="s">
        <v>22</v>
      </c>
    </row>
    <row r="38" spans="1:20" x14ac:dyDescent="0.2">
      <c r="A38" s="25" t="s">
        <v>22</v>
      </c>
      <c r="B38" s="25" t="s">
        <v>22</v>
      </c>
      <c r="C38" s="25" t="s">
        <v>22</v>
      </c>
      <c r="D38" s="25" t="s">
        <v>22</v>
      </c>
      <c r="E38" s="25" t="s">
        <v>22</v>
      </c>
      <c r="F38" s="25" t="s">
        <v>22</v>
      </c>
      <c r="G38" s="25" t="s">
        <v>22</v>
      </c>
      <c r="H38" s="25" t="s">
        <v>22</v>
      </c>
      <c r="I38" s="25" t="s">
        <v>22</v>
      </c>
      <c r="J38" s="25" t="s">
        <v>22</v>
      </c>
      <c r="K38" s="25" t="s">
        <v>22</v>
      </c>
      <c r="L38" s="25" t="s">
        <v>22</v>
      </c>
      <c r="M38" s="25" t="s">
        <v>22</v>
      </c>
      <c r="N38" s="25" t="s">
        <v>22</v>
      </c>
      <c r="O38" s="25" t="s">
        <v>22</v>
      </c>
      <c r="P38" s="25" t="s">
        <v>22</v>
      </c>
      <c r="Q38" s="25" t="s">
        <v>22</v>
      </c>
      <c r="R38" s="25" t="s">
        <v>22</v>
      </c>
      <c r="S38" s="25" t="s">
        <v>22</v>
      </c>
      <c r="T38" s="25" t="s">
        <v>22</v>
      </c>
    </row>
    <row r="39" spans="1:20" x14ac:dyDescent="0.2">
      <c r="A39" s="25" t="s">
        <v>22</v>
      </c>
      <c r="B39" s="25" t="s">
        <v>22</v>
      </c>
      <c r="C39" s="25" t="s">
        <v>22</v>
      </c>
      <c r="D39" s="25" t="s">
        <v>22</v>
      </c>
      <c r="E39" s="25" t="s">
        <v>22</v>
      </c>
      <c r="F39" s="25" t="s">
        <v>22</v>
      </c>
      <c r="G39" s="25" t="s">
        <v>22</v>
      </c>
      <c r="H39" s="25" t="s">
        <v>22</v>
      </c>
      <c r="I39" s="25" t="s">
        <v>22</v>
      </c>
      <c r="J39" s="25" t="s">
        <v>22</v>
      </c>
      <c r="K39" s="25" t="s">
        <v>22</v>
      </c>
      <c r="L39" s="25" t="s">
        <v>22</v>
      </c>
      <c r="M39" s="25" t="s">
        <v>22</v>
      </c>
      <c r="N39" s="25" t="s">
        <v>22</v>
      </c>
      <c r="O39" s="25" t="s">
        <v>22</v>
      </c>
      <c r="P39" s="25" t="s">
        <v>22</v>
      </c>
      <c r="Q39" s="25" t="s">
        <v>22</v>
      </c>
      <c r="R39" s="25" t="s">
        <v>22</v>
      </c>
      <c r="S39" s="25" t="s">
        <v>22</v>
      </c>
      <c r="T39" s="25" t="s">
        <v>22</v>
      </c>
    </row>
    <row r="40" spans="1:20" x14ac:dyDescent="0.2">
      <c r="A40" s="25" t="s">
        <v>22</v>
      </c>
      <c r="B40" s="25" t="s">
        <v>22</v>
      </c>
      <c r="C40" s="25" t="s">
        <v>22</v>
      </c>
      <c r="D40" s="25" t="s">
        <v>22</v>
      </c>
      <c r="E40" s="25" t="s">
        <v>22</v>
      </c>
      <c r="F40" s="25" t="s">
        <v>22</v>
      </c>
      <c r="G40" s="25" t="s">
        <v>22</v>
      </c>
      <c r="H40" s="25" t="s">
        <v>22</v>
      </c>
      <c r="I40" s="25" t="s">
        <v>22</v>
      </c>
      <c r="J40" s="25" t="s">
        <v>22</v>
      </c>
      <c r="K40" s="25" t="s">
        <v>22</v>
      </c>
      <c r="L40" s="25" t="s">
        <v>22</v>
      </c>
      <c r="M40" s="25" t="s">
        <v>22</v>
      </c>
      <c r="N40" s="25" t="s">
        <v>22</v>
      </c>
      <c r="O40" s="25" t="s">
        <v>22</v>
      </c>
      <c r="P40" s="25" t="s">
        <v>22</v>
      </c>
      <c r="Q40" s="25" t="s">
        <v>22</v>
      </c>
      <c r="R40" s="25" t="s">
        <v>22</v>
      </c>
      <c r="S40" s="25" t="s">
        <v>22</v>
      </c>
      <c r="T40" s="25" t="s">
        <v>22</v>
      </c>
    </row>
    <row r="41" spans="1:20" x14ac:dyDescent="0.2">
      <c r="A41" s="25" t="s">
        <v>22</v>
      </c>
      <c r="B41" s="25" t="s">
        <v>22</v>
      </c>
      <c r="C41" s="25" t="s">
        <v>22</v>
      </c>
      <c r="D41" s="25" t="s">
        <v>22</v>
      </c>
      <c r="E41" s="25" t="s">
        <v>22</v>
      </c>
      <c r="F41" s="25" t="s">
        <v>22</v>
      </c>
      <c r="G41" s="25" t="s">
        <v>22</v>
      </c>
      <c r="H41" s="25" t="s">
        <v>22</v>
      </c>
      <c r="I41" s="25" t="s">
        <v>22</v>
      </c>
      <c r="J41" s="25" t="s">
        <v>22</v>
      </c>
      <c r="K41" s="25" t="s">
        <v>22</v>
      </c>
      <c r="L41" s="25" t="s">
        <v>22</v>
      </c>
      <c r="M41" s="25" t="s">
        <v>22</v>
      </c>
      <c r="N41" s="25" t="s">
        <v>22</v>
      </c>
      <c r="O41" s="25" t="s">
        <v>22</v>
      </c>
      <c r="P41" s="25" t="s">
        <v>22</v>
      </c>
      <c r="Q41" s="25" t="s">
        <v>22</v>
      </c>
      <c r="R41" s="25" t="s">
        <v>22</v>
      </c>
      <c r="S41" s="25" t="s">
        <v>22</v>
      </c>
      <c r="T41" s="25" t="s">
        <v>22</v>
      </c>
    </row>
    <row r="42" spans="1:20" x14ac:dyDescent="0.2">
      <c r="A42" s="25" t="s">
        <v>22</v>
      </c>
      <c r="B42" s="25" t="s">
        <v>22</v>
      </c>
      <c r="C42" s="25" t="s">
        <v>22</v>
      </c>
      <c r="D42" s="25" t="s">
        <v>22</v>
      </c>
      <c r="E42" s="25" t="s">
        <v>22</v>
      </c>
      <c r="F42" s="25" t="s">
        <v>22</v>
      </c>
      <c r="G42" s="25" t="s">
        <v>22</v>
      </c>
      <c r="H42" s="25" t="s">
        <v>22</v>
      </c>
      <c r="I42" s="25" t="s">
        <v>22</v>
      </c>
      <c r="J42" s="25" t="s">
        <v>22</v>
      </c>
      <c r="K42" s="25" t="s">
        <v>22</v>
      </c>
      <c r="L42" s="25" t="s">
        <v>22</v>
      </c>
      <c r="M42" s="25" t="s">
        <v>22</v>
      </c>
      <c r="N42" s="25" t="s">
        <v>22</v>
      </c>
      <c r="O42" s="25" t="s">
        <v>22</v>
      </c>
      <c r="P42" s="25" t="s">
        <v>22</v>
      </c>
      <c r="Q42" s="25" t="s">
        <v>22</v>
      </c>
      <c r="R42" s="25" t="s">
        <v>22</v>
      </c>
      <c r="S42" s="25" t="s">
        <v>22</v>
      </c>
      <c r="T42" s="25" t="s">
        <v>22</v>
      </c>
    </row>
    <row r="43" spans="1:20" x14ac:dyDescent="0.2">
      <c r="A43" s="25" t="s">
        <v>22</v>
      </c>
      <c r="B43" s="25" t="s">
        <v>22</v>
      </c>
      <c r="C43" s="25" t="s">
        <v>22</v>
      </c>
      <c r="D43" s="25" t="s">
        <v>22</v>
      </c>
      <c r="E43" s="25" t="s">
        <v>22</v>
      </c>
      <c r="F43" s="25" t="s">
        <v>22</v>
      </c>
      <c r="G43" s="25" t="s">
        <v>22</v>
      </c>
      <c r="H43" s="25" t="s">
        <v>22</v>
      </c>
      <c r="I43" s="25" t="s">
        <v>22</v>
      </c>
      <c r="J43" s="25" t="s">
        <v>22</v>
      </c>
      <c r="K43" s="25" t="s">
        <v>22</v>
      </c>
      <c r="L43" s="25" t="s">
        <v>22</v>
      </c>
      <c r="M43" s="25" t="s">
        <v>22</v>
      </c>
      <c r="N43" s="25" t="s">
        <v>22</v>
      </c>
      <c r="O43" s="25" t="s">
        <v>22</v>
      </c>
      <c r="P43" s="25" t="s">
        <v>22</v>
      </c>
      <c r="Q43" s="25" t="s">
        <v>22</v>
      </c>
      <c r="R43" s="25" t="s">
        <v>22</v>
      </c>
      <c r="S43" s="25" t="s">
        <v>22</v>
      </c>
      <c r="T43" s="25" t="s">
        <v>22</v>
      </c>
    </row>
    <row r="44" spans="1:20" x14ac:dyDescent="0.2">
      <c r="A44" s="25" t="s">
        <v>22</v>
      </c>
      <c r="B44" s="25" t="s">
        <v>22</v>
      </c>
      <c r="C44" s="25" t="s">
        <v>22</v>
      </c>
      <c r="D44" s="25" t="s">
        <v>22</v>
      </c>
      <c r="E44" s="25" t="s">
        <v>22</v>
      </c>
      <c r="F44" s="25" t="s">
        <v>22</v>
      </c>
      <c r="G44" s="25" t="s">
        <v>22</v>
      </c>
      <c r="H44" s="25" t="s">
        <v>22</v>
      </c>
      <c r="I44" s="25" t="s">
        <v>22</v>
      </c>
      <c r="J44" s="25" t="s">
        <v>22</v>
      </c>
      <c r="K44" s="25" t="s">
        <v>22</v>
      </c>
      <c r="L44" s="25" t="s">
        <v>22</v>
      </c>
      <c r="M44" s="25" t="s">
        <v>22</v>
      </c>
      <c r="N44" s="25" t="s">
        <v>22</v>
      </c>
      <c r="O44" s="25" t="s">
        <v>22</v>
      </c>
      <c r="P44" s="25" t="s">
        <v>22</v>
      </c>
      <c r="Q44" s="25" t="s">
        <v>22</v>
      </c>
      <c r="R44" s="25" t="s">
        <v>22</v>
      </c>
      <c r="S44" s="25" t="s">
        <v>22</v>
      </c>
      <c r="T44" s="25" t="s">
        <v>22</v>
      </c>
    </row>
    <row r="45" spans="1:20" x14ac:dyDescent="0.2">
      <c r="A45" s="25" t="s">
        <v>22</v>
      </c>
      <c r="B45" s="25" t="s">
        <v>22</v>
      </c>
      <c r="C45" s="25" t="s">
        <v>22</v>
      </c>
      <c r="D45" s="25" t="s">
        <v>22</v>
      </c>
      <c r="E45" s="25" t="s">
        <v>22</v>
      </c>
      <c r="F45" s="25" t="s">
        <v>22</v>
      </c>
      <c r="G45" s="25" t="s">
        <v>22</v>
      </c>
      <c r="H45" s="25" t="s">
        <v>22</v>
      </c>
      <c r="I45" s="25" t="s">
        <v>22</v>
      </c>
      <c r="J45" s="25" t="s">
        <v>22</v>
      </c>
      <c r="K45" s="25" t="s">
        <v>22</v>
      </c>
      <c r="L45" s="25" t="s">
        <v>22</v>
      </c>
      <c r="M45" s="25" t="s">
        <v>22</v>
      </c>
      <c r="N45" s="25" t="s">
        <v>22</v>
      </c>
      <c r="O45" s="25" t="s">
        <v>22</v>
      </c>
      <c r="P45" s="25" t="s">
        <v>22</v>
      </c>
      <c r="Q45" s="25" t="s">
        <v>22</v>
      </c>
      <c r="R45" s="25" t="s">
        <v>22</v>
      </c>
      <c r="S45" s="25" t="s">
        <v>22</v>
      </c>
      <c r="T45" s="25" t="s">
        <v>22</v>
      </c>
    </row>
    <row r="46" spans="1:20" x14ac:dyDescent="0.2">
      <c r="A46" s="25" t="s">
        <v>22</v>
      </c>
      <c r="B46" s="25" t="s">
        <v>22</v>
      </c>
      <c r="C46" s="25" t="s">
        <v>22</v>
      </c>
      <c r="D46" s="25" t="s">
        <v>22</v>
      </c>
      <c r="E46" s="25" t="s">
        <v>22</v>
      </c>
      <c r="F46" s="25" t="s">
        <v>22</v>
      </c>
      <c r="G46" s="25" t="s">
        <v>22</v>
      </c>
      <c r="H46" s="25" t="s">
        <v>22</v>
      </c>
      <c r="I46" s="25" t="s">
        <v>22</v>
      </c>
      <c r="J46" s="25" t="s">
        <v>22</v>
      </c>
      <c r="K46" s="25" t="s">
        <v>22</v>
      </c>
      <c r="L46" s="25" t="s">
        <v>22</v>
      </c>
      <c r="M46" s="25" t="s">
        <v>22</v>
      </c>
      <c r="N46" s="25" t="s">
        <v>22</v>
      </c>
      <c r="O46" s="25" t="s">
        <v>22</v>
      </c>
      <c r="P46" s="25" t="s">
        <v>22</v>
      </c>
      <c r="Q46" s="25" t="s">
        <v>22</v>
      </c>
      <c r="R46" s="25" t="s">
        <v>22</v>
      </c>
      <c r="S46" s="25" t="s">
        <v>22</v>
      </c>
      <c r="T46" s="25" t="s">
        <v>22</v>
      </c>
    </row>
    <row r="47" spans="1:20" x14ac:dyDescent="0.2">
      <c r="A47" s="25" t="s">
        <v>22</v>
      </c>
      <c r="B47" s="25" t="s">
        <v>22</v>
      </c>
      <c r="C47" s="25" t="s">
        <v>22</v>
      </c>
      <c r="D47" s="25" t="s">
        <v>22</v>
      </c>
      <c r="E47" s="25" t="s">
        <v>22</v>
      </c>
      <c r="F47" s="25" t="s">
        <v>22</v>
      </c>
      <c r="G47" s="25" t="s">
        <v>22</v>
      </c>
      <c r="H47" s="25" t="s">
        <v>22</v>
      </c>
      <c r="I47" s="25" t="s">
        <v>22</v>
      </c>
      <c r="J47" s="25" t="s">
        <v>22</v>
      </c>
      <c r="K47" s="25" t="s">
        <v>22</v>
      </c>
      <c r="L47" s="25" t="s">
        <v>22</v>
      </c>
      <c r="M47" s="25" t="s">
        <v>22</v>
      </c>
      <c r="N47" s="25" t="s">
        <v>22</v>
      </c>
      <c r="O47" s="25" t="s">
        <v>22</v>
      </c>
      <c r="P47" s="25" t="s">
        <v>22</v>
      </c>
      <c r="Q47" s="25" t="s">
        <v>22</v>
      </c>
      <c r="R47" s="25" t="s">
        <v>22</v>
      </c>
      <c r="S47" s="25" t="s">
        <v>22</v>
      </c>
      <c r="T47" s="25" t="s">
        <v>22</v>
      </c>
    </row>
    <row r="48" spans="1:20" x14ac:dyDescent="0.2">
      <c r="A48" s="25" t="s">
        <v>22</v>
      </c>
      <c r="B48" s="25" t="s">
        <v>22</v>
      </c>
      <c r="C48" s="25" t="s">
        <v>22</v>
      </c>
      <c r="D48" s="25" t="s">
        <v>22</v>
      </c>
      <c r="E48" s="25" t="s">
        <v>22</v>
      </c>
      <c r="F48" s="25" t="s">
        <v>22</v>
      </c>
      <c r="G48" s="25" t="s">
        <v>22</v>
      </c>
      <c r="H48" s="25" t="s">
        <v>22</v>
      </c>
      <c r="I48" s="25" t="s">
        <v>22</v>
      </c>
      <c r="J48" s="25" t="s">
        <v>22</v>
      </c>
      <c r="K48" s="25" t="s">
        <v>22</v>
      </c>
      <c r="L48" s="25" t="s">
        <v>22</v>
      </c>
      <c r="M48" s="25" t="s">
        <v>22</v>
      </c>
      <c r="N48" s="25" t="s">
        <v>22</v>
      </c>
      <c r="O48" s="25" t="s">
        <v>22</v>
      </c>
      <c r="P48" s="25" t="s">
        <v>22</v>
      </c>
      <c r="Q48" s="25" t="s">
        <v>22</v>
      </c>
      <c r="R48" s="25" t="s">
        <v>22</v>
      </c>
      <c r="S48" s="25" t="s">
        <v>22</v>
      </c>
      <c r="T48" s="25" t="s">
        <v>22</v>
      </c>
    </row>
    <row r="49" spans="1:20" x14ac:dyDescent="0.2">
      <c r="A49" s="25" t="s">
        <v>22</v>
      </c>
      <c r="B49" s="25" t="s">
        <v>22</v>
      </c>
      <c r="C49" s="25" t="s">
        <v>22</v>
      </c>
      <c r="D49" s="25" t="s">
        <v>22</v>
      </c>
      <c r="E49" s="25" t="s">
        <v>22</v>
      </c>
      <c r="F49" s="25" t="s">
        <v>22</v>
      </c>
      <c r="G49" s="25" t="s">
        <v>22</v>
      </c>
      <c r="H49" s="25" t="s">
        <v>22</v>
      </c>
      <c r="I49" s="25" t="s">
        <v>22</v>
      </c>
      <c r="J49" s="25" t="s">
        <v>22</v>
      </c>
      <c r="K49" s="25" t="s">
        <v>22</v>
      </c>
      <c r="L49" s="25" t="s">
        <v>22</v>
      </c>
      <c r="M49" s="25" t="s">
        <v>22</v>
      </c>
      <c r="N49" s="25" t="s">
        <v>22</v>
      </c>
      <c r="O49" s="25" t="s">
        <v>22</v>
      </c>
      <c r="P49" s="25" t="s">
        <v>22</v>
      </c>
      <c r="Q49" s="25" t="s">
        <v>22</v>
      </c>
      <c r="R49" s="25" t="s">
        <v>22</v>
      </c>
      <c r="S49" s="25" t="s">
        <v>22</v>
      </c>
      <c r="T49" s="25" t="s">
        <v>22</v>
      </c>
    </row>
    <row r="50" spans="1:20" x14ac:dyDescent="0.2">
      <c r="A50" s="25" t="s">
        <v>22</v>
      </c>
      <c r="B50" s="25" t="s">
        <v>22</v>
      </c>
      <c r="C50" s="25" t="s">
        <v>22</v>
      </c>
      <c r="D50" s="25" t="s">
        <v>22</v>
      </c>
      <c r="E50" s="25" t="s">
        <v>22</v>
      </c>
      <c r="F50" s="25" t="s">
        <v>22</v>
      </c>
      <c r="G50" s="25" t="s">
        <v>22</v>
      </c>
      <c r="H50" s="25" t="s">
        <v>22</v>
      </c>
      <c r="I50" s="25" t="s">
        <v>22</v>
      </c>
      <c r="J50" s="25" t="s">
        <v>22</v>
      </c>
      <c r="K50" s="25" t="s">
        <v>22</v>
      </c>
      <c r="L50" s="25" t="s">
        <v>22</v>
      </c>
      <c r="M50" s="25" t="s">
        <v>22</v>
      </c>
      <c r="N50" s="25" t="s">
        <v>22</v>
      </c>
      <c r="O50" s="25" t="s">
        <v>22</v>
      </c>
      <c r="P50" s="25" t="s">
        <v>22</v>
      </c>
      <c r="Q50" s="25" t="s">
        <v>22</v>
      </c>
      <c r="R50" s="25" t="s">
        <v>22</v>
      </c>
      <c r="S50" s="25" t="s">
        <v>22</v>
      </c>
      <c r="T50" s="25" t="s">
        <v>22</v>
      </c>
    </row>
    <row r="51" spans="1:20" x14ac:dyDescent="0.2">
      <c r="A51" s="25" t="s">
        <v>22</v>
      </c>
      <c r="B51" s="25" t="s">
        <v>22</v>
      </c>
      <c r="C51" s="25" t="s">
        <v>22</v>
      </c>
      <c r="D51" s="25" t="s">
        <v>22</v>
      </c>
      <c r="E51" s="25" t="s">
        <v>22</v>
      </c>
      <c r="F51" s="25" t="s">
        <v>22</v>
      </c>
      <c r="G51" s="25" t="s">
        <v>22</v>
      </c>
      <c r="H51" s="25" t="s">
        <v>22</v>
      </c>
      <c r="I51" s="25" t="s">
        <v>22</v>
      </c>
      <c r="J51" s="25" t="s">
        <v>22</v>
      </c>
      <c r="K51" s="25" t="s">
        <v>22</v>
      </c>
      <c r="L51" s="25" t="s">
        <v>22</v>
      </c>
      <c r="M51" s="25" t="s">
        <v>22</v>
      </c>
      <c r="N51" s="25" t="s">
        <v>22</v>
      </c>
      <c r="O51" s="25" t="s">
        <v>22</v>
      </c>
      <c r="P51" s="25" t="s">
        <v>22</v>
      </c>
      <c r="Q51" s="25" t="s">
        <v>22</v>
      </c>
      <c r="R51" s="25" t="s">
        <v>22</v>
      </c>
      <c r="S51" s="25" t="s">
        <v>22</v>
      </c>
      <c r="T51" s="25" t="s">
        <v>22</v>
      </c>
    </row>
    <row r="52" spans="1:20" x14ac:dyDescent="0.2">
      <c r="A52" s="25" t="s">
        <v>22</v>
      </c>
      <c r="B52" s="25" t="s">
        <v>22</v>
      </c>
      <c r="C52" s="25" t="s">
        <v>22</v>
      </c>
      <c r="D52" s="25" t="s">
        <v>22</v>
      </c>
      <c r="E52" s="25" t="s">
        <v>22</v>
      </c>
      <c r="F52" s="25" t="s">
        <v>22</v>
      </c>
      <c r="G52" s="25" t="s">
        <v>22</v>
      </c>
      <c r="H52" s="25" t="s">
        <v>22</v>
      </c>
      <c r="I52" s="25" t="s">
        <v>22</v>
      </c>
      <c r="J52" s="25" t="s">
        <v>22</v>
      </c>
      <c r="K52" s="25" t="s">
        <v>22</v>
      </c>
      <c r="L52" s="25" t="s">
        <v>22</v>
      </c>
      <c r="M52" s="25" t="s">
        <v>22</v>
      </c>
      <c r="N52" s="25" t="s">
        <v>22</v>
      </c>
      <c r="O52" s="25" t="s">
        <v>22</v>
      </c>
      <c r="P52" s="25" t="s">
        <v>22</v>
      </c>
      <c r="Q52" s="25" t="s">
        <v>22</v>
      </c>
      <c r="R52" s="25" t="s">
        <v>22</v>
      </c>
      <c r="S52" s="25" t="s">
        <v>22</v>
      </c>
      <c r="T52" s="25" t="s">
        <v>22</v>
      </c>
    </row>
    <row r="53" spans="1:20" x14ac:dyDescent="0.2">
      <c r="A53" s="25" t="s">
        <v>22</v>
      </c>
      <c r="B53" s="25" t="s">
        <v>22</v>
      </c>
      <c r="C53" s="25" t="s">
        <v>22</v>
      </c>
      <c r="D53" s="25" t="s">
        <v>22</v>
      </c>
      <c r="E53" s="25" t="s">
        <v>22</v>
      </c>
      <c r="F53" s="25" t="s">
        <v>22</v>
      </c>
      <c r="G53" s="25" t="s">
        <v>22</v>
      </c>
      <c r="H53" s="25" t="s">
        <v>22</v>
      </c>
      <c r="I53" s="25" t="s">
        <v>22</v>
      </c>
      <c r="J53" s="25" t="s">
        <v>22</v>
      </c>
      <c r="K53" s="25" t="s">
        <v>22</v>
      </c>
      <c r="L53" s="25" t="s">
        <v>22</v>
      </c>
      <c r="M53" s="25" t="s">
        <v>22</v>
      </c>
      <c r="N53" s="25" t="s">
        <v>22</v>
      </c>
      <c r="O53" s="25" t="s">
        <v>22</v>
      </c>
      <c r="P53" s="25" t="s">
        <v>22</v>
      </c>
      <c r="Q53" s="25" t="s">
        <v>22</v>
      </c>
      <c r="R53" s="25" t="s">
        <v>22</v>
      </c>
      <c r="S53" s="25" t="s">
        <v>22</v>
      </c>
      <c r="T53" s="25" t="s">
        <v>22</v>
      </c>
    </row>
    <row r="54" spans="1:20" x14ac:dyDescent="0.2">
      <c r="A54" s="25" t="s">
        <v>22</v>
      </c>
      <c r="B54" s="25" t="s">
        <v>22</v>
      </c>
      <c r="C54" s="25" t="s">
        <v>22</v>
      </c>
      <c r="D54" s="25" t="s">
        <v>22</v>
      </c>
      <c r="E54" s="25" t="s">
        <v>22</v>
      </c>
      <c r="F54" s="25" t="s">
        <v>22</v>
      </c>
      <c r="G54" s="25" t="s">
        <v>22</v>
      </c>
      <c r="H54" s="25" t="s">
        <v>22</v>
      </c>
      <c r="I54" s="25" t="s">
        <v>22</v>
      </c>
      <c r="J54" s="25" t="s">
        <v>22</v>
      </c>
      <c r="K54" s="25" t="s">
        <v>22</v>
      </c>
      <c r="L54" s="25" t="s">
        <v>22</v>
      </c>
      <c r="M54" s="25" t="s">
        <v>22</v>
      </c>
      <c r="N54" s="25" t="s">
        <v>22</v>
      </c>
      <c r="O54" s="25" t="s">
        <v>22</v>
      </c>
      <c r="P54" s="25" t="s">
        <v>22</v>
      </c>
      <c r="Q54" s="25" t="s">
        <v>22</v>
      </c>
      <c r="R54" s="25" t="s">
        <v>22</v>
      </c>
      <c r="S54" s="25" t="s">
        <v>22</v>
      </c>
      <c r="T54" s="25" t="s">
        <v>22</v>
      </c>
    </row>
    <row r="55" spans="1:20" x14ac:dyDescent="0.2">
      <c r="A55" s="25" t="s">
        <v>22</v>
      </c>
      <c r="B55" s="25" t="s">
        <v>22</v>
      </c>
      <c r="C55" s="25" t="s">
        <v>22</v>
      </c>
      <c r="D55" s="25" t="s">
        <v>22</v>
      </c>
      <c r="E55" s="25" t="s">
        <v>22</v>
      </c>
      <c r="F55" s="25" t="s">
        <v>22</v>
      </c>
      <c r="G55" s="25" t="s">
        <v>22</v>
      </c>
      <c r="H55" s="25" t="s">
        <v>22</v>
      </c>
      <c r="I55" s="25" t="s">
        <v>22</v>
      </c>
      <c r="J55" s="25" t="s">
        <v>22</v>
      </c>
      <c r="K55" s="25" t="s">
        <v>22</v>
      </c>
      <c r="L55" s="25" t="s">
        <v>22</v>
      </c>
      <c r="M55" s="25" t="s">
        <v>22</v>
      </c>
      <c r="N55" s="25" t="s">
        <v>22</v>
      </c>
      <c r="O55" s="25" t="s">
        <v>22</v>
      </c>
      <c r="P55" s="25" t="s">
        <v>22</v>
      </c>
      <c r="Q55" s="25" t="s">
        <v>22</v>
      </c>
      <c r="R55" s="25" t="s">
        <v>22</v>
      </c>
      <c r="S55" s="25" t="s">
        <v>22</v>
      </c>
      <c r="T55" s="25" t="s">
        <v>22</v>
      </c>
    </row>
    <row r="56" spans="1:20" x14ac:dyDescent="0.2">
      <c r="A56" s="25" t="s">
        <v>22</v>
      </c>
      <c r="B56" s="25" t="s">
        <v>22</v>
      </c>
      <c r="C56" s="25" t="s">
        <v>22</v>
      </c>
      <c r="D56" s="25" t="s">
        <v>22</v>
      </c>
      <c r="E56" s="25" t="s">
        <v>22</v>
      </c>
      <c r="F56" s="25" t="s">
        <v>22</v>
      </c>
      <c r="G56" s="25" t="s">
        <v>22</v>
      </c>
      <c r="H56" s="25" t="s">
        <v>22</v>
      </c>
      <c r="I56" s="25" t="s">
        <v>22</v>
      </c>
      <c r="J56" s="25" t="s">
        <v>22</v>
      </c>
      <c r="K56" s="25" t="s">
        <v>22</v>
      </c>
      <c r="L56" s="25" t="s">
        <v>22</v>
      </c>
      <c r="M56" s="25" t="s">
        <v>22</v>
      </c>
      <c r="N56" s="25" t="s">
        <v>22</v>
      </c>
      <c r="O56" s="25" t="s">
        <v>22</v>
      </c>
      <c r="P56" s="25" t="s">
        <v>22</v>
      </c>
      <c r="Q56" s="25" t="s">
        <v>22</v>
      </c>
      <c r="R56" s="25" t="s">
        <v>22</v>
      </c>
      <c r="S56" s="25" t="s">
        <v>22</v>
      </c>
      <c r="T56" s="25" t="s">
        <v>22</v>
      </c>
    </row>
    <row r="57" spans="1:20" x14ac:dyDescent="0.2">
      <c r="A57" s="25" t="s">
        <v>22</v>
      </c>
      <c r="B57" s="25" t="s">
        <v>22</v>
      </c>
      <c r="C57" s="25" t="s">
        <v>22</v>
      </c>
      <c r="D57" s="25" t="s">
        <v>22</v>
      </c>
      <c r="E57" s="25" t="s">
        <v>22</v>
      </c>
      <c r="F57" s="25" t="s">
        <v>22</v>
      </c>
      <c r="G57" s="25" t="s">
        <v>22</v>
      </c>
      <c r="H57" s="25" t="s">
        <v>22</v>
      </c>
      <c r="I57" s="25" t="s">
        <v>22</v>
      </c>
      <c r="J57" s="25" t="s">
        <v>22</v>
      </c>
      <c r="K57" s="25" t="s">
        <v>22</v>
      </c>
      <c r="L57" s="25" t="s">
        <v>22</v>
      </c>
      <c r="M57" s="25" t="s">
        <v>22</v>
      </c>
      <c r="N57" s="25" t="s">
        <v>22</v>
      </c>
      <c r="O57" s="25" t="s">
        <v>22</v>
      </c>
      <c r="P57" s="25" t="s">
        <v>22</v>
      </c>
      <c r="Q57" s="25" t="s">
        <v>22</v>
      </c>
      <c r="R57" s="25" t="s">
        <v>22</v>
      </c>
      <c r="S57" s="25" t="s">
        <v>22</v>
      </c>
      <c r="T57" s="25" t="s">
        <v>22</v>
      </c>
    </row>
    <row r="58" spans="1:20" x14ac:dyDescent="0.2">
      <c r="A58" s="25" t="s">
        <v>22</v>
      </c>
      <c r="B58" s="25" t="s">
        <v>22</v>
      </c>
      <c r="C58" s="25" t="s">
        <v>22</v>
      </c>
      <c r="D58" s="25" t="s">
        <v>22</v>
      </c>
      <c r="E58" s="25" t="s">
        <v>22</v>
      </c>
      <c r="F58" s="25" t="s">
        <v>22</v>
      </c>
      <c r="G58" s="25" t="s">
        <v>22</v>
      </c>
      <c r="H58" s="25" t="s">
        <v>22</v>
      </c>
      <c r="I58" s="25" t="s">
        <v>22</v>
      </c>
      <c r="J58" s="25" t="s">
        <v>22</v>
      </c>
      <c r="K58" s="25" t="s">
        <v>22</v>
      </c>
      <c r="L58" s="25" t="s">
        <v>22</v>
      </c>
      <c r="M58" s="25" t="s">
        <v>22</v>
      </c>
      <c r="N58" s="25" t="s">
        <v>22</v>
      </c>
      <c r="O58" s="25" t="s">
        <v>22</v>
      </c>
      <c r="P58" s="25" t="s">
        <v>22</v>
      </c>
      <c r="Q58" s="25" t="s">
        <v>22</v>
      </c>
      <c r="R58" s="25" t="s">
        <v>22</v>
      </c>
      <c r="S58" s="25" t="s">
        <v>22</v>
      </c>
      <c r="T58" s="25" t="s">
        <v>22</v>
      </c>
    </row>
    <row r="59" spans="1:20" x14ac:dyDescent="0.2">
      <c r="A59" s="25" t="s">
        <v>22</v>
      </c>
      <c r="B59" s="25" t="s">
        <v>22</v>
      </c>
      <c r="C59" s="25" t="s">
        <v>22</v>
      </c>
      <c r="D59" s="25" t="s">
        <v>22</v>
      </c>
      <c r="E59" s="25" t="s">
        <v>22</v>
      </c>
      <c r="F59" s="25" t="s">
        <v>22</v>
      </c>
      <c r="G59" s="25" t="s">
        <v>22</v>
      </c>
      <c r="H59" s="25" t="s">
        <v>22</v>
      </c>
      <c r="I59" s="25" t="s">
        <v>22</v>
      </c>
      <c r="J59" s="25" t="s">
        <v>22</v>
      </c>
      <c r="K59" s="25" t="s">
        <v>22</v>
      </c>
      <c r="L59" s="25" t="s">
        <v>22</v>
      </c>
      <c r="M59" s="25" t="s">
        <v>22</v>
      </c>
      <c r="N59" s="25" t="s">
        <v>22</v>
      </c>
      <c r="O59" s="25" t="s">
        <v>22</v>
      </c>
      <c r="P59" s="25" t="s">
        <v>22</v>
      </c>
      <c r="Q59" s="25" t="s">
        <v>22</v>
      </c>
      <c r="R59" s="25" t="s">
        <v>22</v>
      </c>
      <c r="S59" s="25" t="s">
        <v>22</v>
      </c>
      <c r="T59" s="25" t="s">
        <v>22</v>
      </c>
    </row>
    <row r="60" spans="1:20" x14ac:dyDescent="0.2">
      <c r="A60" s="25" t="s">
        <v>22</v>
      </c>
      <c r="B60" s="25" t="s">
        <v>22</v>
      </c>
      <c r="C60" s="25" t="s">
        <v>22</v>
      </c>
      <c r="D60" s="25" t="s">
        <v>22</v>
      </c>
      <c r="E60" s="25" t="s">
        <v>22</v>
      </c>
      <c r="F60" s="25" t="s">
        <v>22</v>
      </c>
      <c r="G60" s="25" t="s">
        <v>22</v>
      </c>
      <c r="H60" s="25" t="s">
        <v>22</v>
      </c>
      <c r="I60" s="25" t="s">
        <v>22</v>
      </c>
      <c r="J60" s="25" t="s">
        <v>22</v>
      </c>
      <c r="K60" s="25" t="s">
        <v>22</v>
      </c>
      <c r="L60" s="25" t="s">
        <v>22</v>
      </c>
      <c r="M60" s="25" t="s">
        <v>22</v>
      </c>
      <c r="N60" s="25" t="s">
        <v>22</v>
      </c>
      <c r="O60" s="25" t="s">
        <v>22</v>
      </c>
      <c r="P60" s="25" t="s">
        <v>22</v>
      </c>
      <c r="Q60" s="25" t="s">
        <v>22</v>
      </c>
      <c r="R60" s="25" t="s">
        <v>22</v>
      </c>
      <c r="S60" s="25" t="s">
        <v>22</v>
      </c>
      <c r="T60" s="25" t="s">
        <v>22</v>
      </c>
    </row>
    <row r="61" spans="1:20" x14ac:dyDescent="0.2">
      <c r="A61" s="25" t="s">
        <v>22</v>
      </c>
      <c r="B61" s="25" t="s">
        <v>22</v>
      </c>
      <c r="C61" s="25" t="s">
        <v>22</v>
      </c>
      <c r="D61" s="25" t="s">
        <v>22</v>
      </c>
      <c r="E61" s="25" t="s">
        <v>22</v>
      </c>
      <c r="F61" s="25" t="s">
        <v>22</v>
      </c>
      <c r="G61" s="25" t="s">
        <v>22</v>
      </c>
      <c r="H61" s="25" t="s">
        <v>22</v>
      </c>
      <c r="I61" s="25" t="s">
        <v>22</v>
      </c>
      <c r="J61" s="25" t="s">
        <v>22</v>
      </c>
      <c r="K61" s="25" t="s">
        <v>22</v>
      </c>
      <c r="L61" s="25" t="s">
        <v>22</v>
      </c>
      <c r="M61" s="25" t="s">
        <v>22</v>
      </c>
      <c r="N61" s="25" t="s">
        <v>22</v>
      </c>
      <c r="O61" s="25" t="s">
        <v>22</v>
      </c>
      <c r="P61" s="25" t="s">
        <v>22</v>
      </c>
      <c r="Q61" s="25" t="s">
        <v>22</v>
      </c>
      <c r="R61" s="25" t="s">
        <v>22</v>
      </c>
      <c r="S61" s="25" t="s">
        <v>22</v>
      </c>
      <c r="T61" s="25" t="s">
        <v>22</v>
      </c>
    </row>
    <row r="62" spans="1:20" x14ac:dyDescent="0.2">
      <c r="A62" s="25" t="s">
        <v>22</v>
      </c>
      <c r="B62" s="25" t="s">
        <v>22</v>
      </c>
      <c r="C62" s="25" t="s">
        <v>22</v>
      </c>
      <c r="D62" s="25" t="s">
        <v>22</v>
      </c>
      <c r="E62" s="25" t="s">
        <v>22</v>
      </c>
      <c r="F62" s="25" t="s">
        <v>22</v>
      </c>
      <c r="G62" s="25" t="s">
        <v>22</v>
      </c>
      <c r="H62" s="25" t="s">
        <v>22</v>
      </c>
      <c r="I62" s="25" t="s">
        <v>22</v>
      </c>
      <c r="J62" s="25" t="s">
        <v>22</v>
      </c>
      <c r="K62" s="25" t="s">
        <v>22</v>
      </c>
      <c r="L62" s="25" t="s">
        <v>22</v>
      </c>
      <c r="M62" s="25" t="s">
        <v>22</v>
      </c>
      <c r="N62" s="25" t="s">
        <v>22</v>
      </c>
      <c r="O62" s="25" t="s">
        <v>22</v>
      </c>
      <c r="P62" s="25" t="s">
        <v>22</v>
      </c>
      <c r="Q62" s="25" t="s">
        <v>22</v>
      </c>
      <c r="R62" s="25" t="s">
        <v>22</v>
      </c>
      <c r="S62" s="25" t="s">
        <v>22</v>
      </c>
      <c r="T62" s="25" t="s">
        <v>22</v>
      </c>
    </row>
    <row r="63" spans="1:20" x14ac:dyDescent="0.2">
      <c r="A63" s="25" t="s">
        <v>22</v>
      </c>
      <c r="B63" s="25" t="s">
        <v>22</v>
      </c>
      <c r="C63" s="25" t="s">
        <v>22</v>
      </c>
      <c r="D63" s="25" t="s">
        <v>22</v>
      </c>
      <c r="E63" s="25" t="s">
        <v>22</v>
      </c>
      <c r="F63" s="25" t="s">
        <v>22</v>
      </c>
      <c r="G63" s="25" t="s">
        <v>22</v>
      </c>
      <c r="H63" s="25" t="s">
        <v>22</v>
      </c>
      <c r="I63" s="25" t="s">
        <v>22</v>
      </c>
      <c r="J63" s="25" t="s">
        <v>22</v>
      </c>
      <c r="K63" s="25" t="s">
        <v>22</v>
      </c>
      <c r="L63" s="25" t="s">
        <v>22</v>
      </c>
      <c r="M63" s="25" t="s">
        <v>22</v>
      </c>
      <c r="N63" s="25" t="s">
        <v>22</v>
      </c>
      <c r="O63" s="25" t="s">
        <v>22</v>
      </c>
      <c r="P63" s="25" t="s">
        <v>22</v>
      </c>
      <c r="Q63" s="25" t="s">
        <v>22</v>
      </c>
      <c r="R63" s="25" t="s">
        <v>22</v>
      </c>
      <c r="S63" s="25" t="s">
        <v>22</v>
      </c>
      <c r="T63" s="25" t="s">
        <v>22</v>
      </c>
    </row>
    <row r="64" spans="1:20" x14ac:dyDescent="0.2">
      <c r="A64" s="25" t="s">
        <v>22</v>
      </c>
      <c r="B64" s="25" t="s">
        <v>22</v>
      </c>
      <c r="C64" s="25" t="s">
        <v>22</v>
      </c>
      <c r="D64" s="25" t="s">
        <v>22</v>
      </c>
      <c r="E64" s="25" t="s">
        <v>22</v>
      </c>
      <c r="F64" s="25" t="s">
        <v>22</v>
      </c>
      <c r="G64" s="25" t="s">
        <v>22</v>
      </c>
      <c r="H64" s="25" t="s">
        <v>22</v>
      </c>
      <c r="I64" s="25" t="s">
        <v>22</v>
      </c>
      <c r="J64" s="25" t="s">
        <v>22</v>
      </c>
      <c r="K64" s="25" t="s">
        <v>22</v>
      </c>
      <c r="L64" s="25" t="s">
        <v>22</v>
      </c>
      <c r="M64" s="25" t="s">
        <v>22</v>
      </c>
      <c r="N64" s="25" t="s">
        <v>22</v>
      </c>
      <c r="O64" s="25" t="s">
        <v>22</v>
      </c>
      <c r="P64" s="25" t="s">
        <v>22</v>
      </c>
      <c r="Q64" s="25" t="s">
        <v>22</v>
      </c>
      <c r="R64" s="25" t="s">
        <v>22</v>
      </c>
      <c r="S64" s="25" t="s">
        <v>22</v>
      </c>
      <c r="T64" s="25" t="s">
        <v>22</v>
      </c>
    </row>
    <row r="65" spans="1:20" x14ac:dyDescent="0.2">
      <c r="A65" s="25" t="s">
        <v>22</v>
      </c>
      <c r="B65" s="25" t="s">
        <v>22</v>
      </c>
      <c r="C65" s="25" t="s">
        <v>22</v>
      </c>
      <c r="D65" s="25" t="s">
        <v>22</v>
      </c>
      <c r="E65" s="25" t="s">
        <v>22</v>
      </c>
      <c r="F65" s="25" t="s">
        <v>22</v>
      </c>
      <c r="G65" s="25" t="s">
        <v>22</v>
      </c>
      <c r="H65" s="25" t="s">
        <v>22</v>
      </c>
      <c r="I65" s="25" t="s">
        <v>22</v>
      </c>
      <c r="J65" s="25" t="s">
        <v>22</v>
      </c>
      <c r="K65" s="25" t="s">
        <v>22</v>
      </c>
      <c r="L65" s="25" t="s">
        <v>22</v>
      </c>
      <c r="M65" s="25" t="s">
        <v>22</v>
      </c>
      <c r="N65" s="25" t="s">
        <v>22</v>
      </c>
      <c r="O65" s="25" t="s">
        <v>22</v>
      </c>
      <c r="P65" s="25" t="s">
        <v>22</v>
      </c>
      <c r="Q65" s="25" t="s">
        <v>22</v>
      </c>
      <c r="R65" s="25" t="s">
        <v>22</v>
      </c>
      <c r="S65" s="25" t="s">
        <v>22</v>
      </c>
      <c r="T65" s="25" t="s">
        <v>22</v>
      </c>
    </row>
    <row r="66" spans="1:20" x14ac:dyDescent="0.2">
      <c r="A66" s="25" t="s">
        <v>22</v>
      </c>
      <c r="B66" s="25" t="s">
        <v>22</v>
      </c>
      <c r="C66" s="25" t="s">
        <v>22</v>
      </c>
      <c r="D66" s="25" t="s">
        <v>22</v>
      </c>
      <c r="E66" s="25" t="s">
        <v>22</v>
      </c>
      <c r="F66" s="25" t="s">
        <v>22</v>
      </c>
      <c r="G66" s="25" t="s">
        <v>22</v>
      </c>
      <c r="H66" s="25" t="s">
        <v>22</v>
      </c>
      <c r="I66" s="25" t="s">
        <v>22</v>
      </c>
      <c r="J66" s="25" t="s">
        <v>22</v>
      </c>
      <c r="K66" s="25" t="s">
        <v>22</v>
      </c>
      <c r="L66" s="25" t="s">
        <v>22</v>
      </c>
      <c r="M66" s="25" t="s">
        <v>22</v>
      </c>
      <c r="N66" s="25" t="s">
        <v>22</v>
      </c>
      <c r="O66" s="25" t="s">
        <v>22</v>
      </c>
      <c r="P66" s="25" t="s">
        <v>22</v>
      </c>
      <c r="Q66" s="25" t="s">
        <v>22</v>
      </c>
      <c r="R66" s="25" t="s">
        <v>22</v>
      </c>
      <c r="S66" s="25" t="s">
        <v>22</v>
      </c>
      <c r="T66" s="25" t="s">
        <v>22</v>
      </c>
    </row>
    <row r="67" spans="1:20" x14ac:dyDescent="0.2">
      <c r="A67" s="25" t="s">
        <v>22</v>
      </c>
      <c r="B67" s="25" t="s">
        <v>22</v>
      </c>
      <c r="C67" s="25" t="s">
        <v>22</v>
      </c>
      <c r="D67" s="25" t="s">
        <v>22</v>
      </c>
      <c r="E67" s="25" t="s">
        <v>22</v>
      </c>
      <c r="F67" s="25" t="s">
        <v>22</v>
      </c>
      <c r="G67" s="25" t="s">
        <v>22</v>
      </c>
      <c r="H67" s="25" t="s">
        <v>22</v>
      </c>
      <c r="I67" s="25" t="s">
        <v>22</v>
      </c>
      <c r="J67" s="25" t="s">
        <v>22</v>
      </c>
      <c r="K67" s="25" t="s">
        <v>22</v>
      </c>
      <c r="L67" s="25" t="s">
        <v>22</v>
      </c>
      <c r="M67" s="25" t="s">
        <v>22</v>
      </c>
      <c r="N67" s="25" t="s">
        <v>22</v>
      </c>
      <c r="O67" s="25" t="s">
        <v>22</v>
      </c>
      <c r="P67" s="25" t="s">
        <v>22</v>
      </c>
      <c r="Q67" s="25" t="s">
        <v>22</v>
      </c>
      <c r="R67" s="25" t="s">
        <v>22</v>
      </c>
      <c r="S67" s="25" t="s">
        <v>22</v>
      </c>
      <c r="T67" s="25" t="s">
        <v>22</v>
      </c>
    </row>
    <row r="68" spans="1:20" x14ac:dyDescent="0.2">
      <c r="A68" s="25" t="s">
        <v>22</v>
      </c>
      <c r="B68" s="25" t="s">
        <v>22</v>
      </c>
      <c r="C68" s="25" t="s">
        <v>22</v>
      </c>
      <c r="D68" s="25" t="s">
        <v>22</v>
      </c>
      <c r="E68" s="25" t="s">
        <v>22</v>
      </c>
      <c r="F68" s="25" t="s">
        <v>22</v>
      </c>
      <c r="G68" s="25" t="s">
        <v>22</v>
      </c>
      <c r="H68" s="25" t="s">
        <v>22</v>
      </c>
      <c r="I68" s="25" t="s">
        <v>22</v>
      </c>
      <c r="J68" s="25" t="s">
        <v>22</v>
      </c>
      <c r="K68" s="25" t="s">
        <v>22</v>
      </c>
      <c r="L68" s="25" t="s">
        <v>22</v>
      </c>
      <c r="M68" s="25" t="s">
        <v>22</v>
      </c>
      <c r="N68" s="25" t="s">
        <v>22</v>
      </c>
      <c r="O68" s="25" t="s">
        <v>22</v>
      </c>
      <c r="P68" s="25" t="s">
        <v>22</v>
      </c>
      <c r="Q68" s="25" t="s">
        <v>22</v>
      </c>
      <c r="R68" s="25" t="s">
        <v>22</v>
      </c>
      <c r="S68" s="25" t="s">
        <v>22</v>
      </c>
      <c r="T68" s="25" t="s">
        <v>22</v>
      </c>
    </row>
    <row r="69" spans="1:20" x14ac:dyDescent="0.2">
      <c r="A69" s="25" t="s">
        <v>22</v>
      </c>
      <c r="B69" s="25" t="s">
        <v>22</v>
      </c>
      <c r="C69" s="25" t="s">
        <v>22</v>
      </c>
      <c r="D69" s="25" t="s">
        <v>22</v>
      </c>
      <c r="E69" s="25" t="s">
        <v>22</v>
      </c>
      <c r="F69" s="25" t="s">
        <v>22</v>
      </c>
      <c r="G69" s="25" t="s">
        <v>22</v>
      </c>
      <c r="H69" s="25" t="s">
        <v>22</v>
      </c>
      <c r="I69" s="25" t="s">
        <v>22</v>
      </c>
      <c r="J69" s="25" t="s">
        <v>22</v>
      </c>
      <c r="K69" s="25" t="s">
        <v>22</v>
      </c>
      <c r="L69" s="25" t="s">
        <v>22</v>
      </c>
      <c r="M69" s="25" t="s">
        <v>22</v>
      </c>
      <c r="N69" s="25" t="s">
        <v>22</v>
      </c>
      <c r="O69" s="25" t="s">
        <v>22</v>
      </c>
      <c r="P69" s="25" t="s">
        <v>22</v>
      </c>
      <c r="Q69" s="25" t="s">
        <v>22</v>
      </c>
      <c r="R69" s="25" t="s">
        <v>22</v>
      </c>
      <c r="S69" s="25" t="s">
        <v>22</v>
      </c>
      <c r="T69" s="25" t="s">
        <v>22</v>
      </c>
    </row>
    <row r="70" spans="1:20" x14ac:dyDescent="0.2">
      <c r="A70" s="25" t="s">
        <v>22</v>
      </c>
      <c r="B70" s="25" t="s">
        <v>22</v>
      </c>
      <c r="C70" s="25" t="s">
        <v>22</v>
      </c>
      <c r="D70" s="25" t="s">
        <v>22</v>
      </c>
      <c r="E70" s="25" t="s">
        <v>22</v>
      </c>
      <c r="F70" s="25" t="s">
        <v>22</v>
      </c>
      <c r="G70" s="25" t="s">
        <v>22</v>
      </c>
      <c r="H70" s="25" t="s">
        <v>22</v>
      </c>
      <c r="I70" s="25" t="s">
        <v>22</v>
      </c>
      <c r="J70" s="25" t="s">
        <v>22</v>
      </c>
      <c r="K70" s="25" t="s">
        <v>22</v>
      </c>
      <c r="L70" s="25" t="s">
        <v>22</v>
      </c>
      <c r="M70" s="25" t="s">
        <v>22</v>
      </c>
      <c r="N70" s="25" t="s">
        <v>22</v>
      </c>
      <c r="O70" s="25" t="s">
        <v>22</v>
      </c>
      <c r="P70" s="25" t="s">
        <v>22</v>
      </c>
      <c r="Q70" s="25" t="s">
        <v>22</v>
      </c>
      <c r="R70" s="25" t="s">
        <v>22</v>
      </c>
      <c r="S70" s="25" t="s">
        <v>22</v>
      </c>
      <c r="T70" s="25" t="s">
        <v>22</v>
      </c>
    </row>
    <row r="71" spans="1:20" x14ac:dyDescent="0.2">
      <c r="A71" s="25" t="s">
        <v>22</v>
      </c>
      <c r="B71" s="25" t="s">
        <v>22</v>
      </c>
      <c r="C71" s="25" t="s">
        <v>22</v>
      </c>
      <c r="D71" s="25" t="s">
        <v>22</v>
      </c>
      <c r="E71" s="25" t="s">
        <v>22</v>
      </c>
      <c r="F71" s="25" t="s">
        <v>22</v>
      </c>
      <c r="G71" s="25" t="s">
        <v>22</v>
      </c>
      <c r="H71" s="25" t="s">
        <v>22</v>
      </c>
      <c r="I71" s="25" t="s">
        <v>22</v>
      </c>
      <c r="J71" s="25" t="s">
        <v>22</v>
      </c>
      <c r="K71" s="25" t="s">
        <v>22</v>
      </c>
      <c r="L71" s="25" t="s">
        <v>22</v>
      </c>
      <c r="M71" s="25" t="s">
        <v>22</v>
      </c>
      <c r="N71" s="25" t="s">
        <v>22</v>
      </c>
      <c r="O71" s="25" t="s">
        <v>22</v>
      </c>
      <c r="P71" s="25" t="s">
        <v>22</v>
      </c>
      <c r="Q71" s="25" t="s">
        <v>22</v>
      </c>
      <c r="R71" s="25" t="s">
        <v>22</v>
      </c>
      <c r="S71" s="25" t="s">
        <v>22</v>
      </c>
      <c r="T71" s="25" t="s">
        <v>22</v>
      </c>
    </row>
    <row r="72" spans="1:20" x14ac:dyDescent="0.2">
      <c r="A72" s="25" t="s">
        <v>22</v>
      </c>
      <c r="B72" s="25" t="s">
        <v>22</v>
      </c>
      <c r="C72" s="25" t="s">
        <v>22</v>
      </c>
      <c r="D72" s="25" t="s">
        <v>22</v>
      </c>
      <c r="E72" s="25" t="s">
        <v>22</v>
      </c>
      <c r="F72" s="25" t="s">
        <v>22</v>
      </c>
      <c r="G72" s="25" t="s">
        <v>22</v>
      </c>
      <c r="H72" s="25" t="s">
        <v>22</v>
      </c>
      <c r="I72" s="25" t="s">
        <v>22</v>
      </c>
      <c r="J72" s="25" t="s">
        <v>22</v>
      </c>
      <c r="K72" s="25" t="s">
        <v>22</v>
      </c>
      <c r="L72" s="25" t="s">
        <v>22</v>
      </c>
      <c r="M72" s="25" t="s">
        <v>22</v>
      </c>
      <c r="N72" s="25" t="s">
        <v>22</v>
      </c>
      <c r="O72" s="25" t="s">
        <v>22</v>
      </c>
      <c r="P72" s="25" t="s">
        <v>22</v>
      </c>
      <c r="Q72" s="25" t="s">
        <v>22</v>
      </c>
      <c r="R72" s="25" t="s">
        <v>22</v>
      </c>
      <c r="S72" s="25" t="s">
        <v>22</v>
      </c>
      <c r="T72" s="25" t="s">
        <v>22</v>
      </c>
    </row>
    <row r="73" spans="1:20" x14ac:dyDescent="0.2">
      <c r="A73" s="25" t="s">
        <v>22</v>
      </c>
      <c r="B73" s="25" t="s">
        <v>22</v>
      </c>
      <c r="C73" s="25" t="s">
        <v>22</v>
      </c>
      <c r="D73" s="25" t="s">
        <v>22</v>
      </c>
      <c r="E73" s="25" t="s">
        <v>22</v>
      </c>
      <c r="F73" s="25" t="s">
        <v>22</v>
      </c>
      <c r="G73" s="25" t="s">
        <v>22</v>
      </c>
      <c r="H73" s="25" t="s">
        <v>22</v>
      </c>
      <c r="I73" s="25" t="s">
        <v>22</v>
      </c>
      <c r="J73" s="25" t="s">
        <v>22</v>
      </c>
      <c r="K73" s="25" t="s">
        <v>22</v>
      </c>
      <c r="L73" s="25" t="s">
        <v>22</v>
      </c>
      <c r="M73" s="25" t="s">
        <v>22</v>
      </c>
      <c r="N73" s="25" t="s">
        <v>22</v>
      </c>
      <c r="O73" s="25" t="s">
        <v>22</v>
      </c>
      <c r="P73" s="25" t="s">
        <v>22</v>
      </c>
      <c r="Q73" s="25" t="s">
        <v>22</v>
      </c>
      <c r="R73" s="25" t="s">
        <v>22</v>
      </c>
      <c r="S73" s="25" t="s">
        <v>22</v>
      </c>
      <c r="T73" s="25" t="s">
        <v>22</v>
      </c>
    </row>
    <row r="74" spans="1:20" x14ac:dyDescent="0.2">
      <c r="A74" s="25" t="s">
        <v>22</v>
      </c>
      <c r="B74" s="25" t="s">
        <v>22</v>
      </c>
      <c r="C74" s="25" t="s">
        <v>22</v>
      </c>
      <c r="D74" s="25" t="s">
        <v>22</v>
      </c>
      <c r="E74" s="25" t="s">
        <v>22</v>
      </c>
      <c r="F74" s="25" t="s">
        <v>22</v>
      </c>
      <c r="G74" s="25" t="s">
        <v>22</v>
      </c>
      <c r="H74" s="25" t="s">
        <v>22</v>
      </c>
      <c r="I74" s="25" t="s">
        <v>22</v>
      </c>
      <c r="J74" s="25" t="s">
        <v>22</v>
      </c>
      <c r="K74" s="25" t="s">
        <v>22</v>
      </c>
      <c r="L74" s="25" t="s">
        <v>22</v>
      </c>
      <c r="M74" s="25" t="s">
        <v>22</v>
      </c>
      <c r="N74" s="25" t="s">
        <v>22</v>
      </c>
      <c r="O74" s="25" t="s">
        <v>22</v>
      </c>
      <c r="P74" s="25" t="s">
        <v>22</v>
      </c>
      <c r="Q74" s="25" t="s">
        <v>22</v>
      </c>
      <c r="R74" s="25" t="s">
        <v>22</v>
      </c>
      <c r="S74" s="25" t="s">
        <v>22</v>
      </c>
      <c r="T74" s="25" t="s">
        <v>22</v>
      </c>
    </row>
    <row r="75" spans="1:20" x14ac:dyDescent="0.2">
      <c r="A75" s="25" t="s">
        <v>22</v>
      </c>
      <c r="B75" s="25" t="s">
        <v>22</v>
      </c>
      <c r="C75" s="25" t="s">
        <v>22</v>
      </c>
      <c r="D75" s="25" t="s">
        <v>22</v>
      </c>
      <c r="E75" s="25" t="s">
        <v>22</v>
      </c>
      <c r="F75" s="25" t="s">
        <v>22</v>
      </c>
      <c r="G75" s="25" t="s">
        <v>22</v>
      </c>
      <c r="H75" s="25" t="s">
        <v>22</v>
      </c>
      <c r="I75" s="25" t="s">
        <v>22</v>
      </c>
      <c r="J75" s="25" t="s">
        <v>22</v>
      </c>
      <c r="K75" s="25" t="s">
        <v>22</v>
      </c>
      <c r="L75" s="25" t="s">
        <v>22</v>
      </c>
      <c r="M75" s="25" t="s">
        <v>22</v>
      </c>
      <c r="N75" s="25" t="s">
        <v>22</v>
      </c>
      <c r="O75" s="25" t="s">
        <v>22</v>
      </c>
      <c r="P75" s="25" t="s">
        <v>22</v>
      </c>
      <c r="Q75" s="25" t="s">
        <v>22</v>
      </c>
      <c r="R75" s="25" t="s">
        <v>22</v>
      </c>
      <c r="S75" s="25" t="s">
        <v>22</v>
      </c>
      <c r="T75" s="25" t="s">
        <v>22</v>
      </c>
    </row>
    <row r="76" spans="1:20" x14ac:dyDescent="0.2">
      <c r="A76" s="25" t="s">
        <v>22</v>
      </c>
      <c r="B76" s="25" t="s">
        <v>22</v>
      </c>
      <c r="C76" s="25" t="s">
        <v>22</v>
      </c>
      <c r="D76" s="25" t="s">
        <v>22</v>
      </c>
      <c r="E76" s="25" t="s">
        <v>22</v>
      </c>
      <c r="F76" s="25" t="s">
        <v>22</v>
      </c>
      <c r="G76" s="25" t="s">
        <v>22</v>
      </c>
      <c r="H76" s="25" t="s">
        <v>22</v>
      </c>
      <c r="I76" s="25" t="s">
        <v>22</v>
      </c>
      <c r="J76" s="25" t="s">
        <v>22</v>
      </c>
      <c r="K76" s="25" t="s">
        <v>22</v>
      </c>
      <c r="L76" s="25" t="s">
        <v>22</v>
      </c>
      <c r="M76" s="25" t="s">
        <v>22</v>
      </c>
      <c r="N76" s="25" t="s">
        <v>22</v>
      </c>
      <c r="O76" s="25" t="s">
        <v>22</v>
      </c>
      <c r="P76" s="25" t="s">
        <v>22</v>
      </c>
      <c r="Q76" s="25" t="s">
        <v>22</v>
      </c>
      <c r="R76" s="25" t="s">
        <v>22</v>
      </c>
      <c r="S76" s="25" t="s">
        <v>22</v>
      </c>
      <c r="T76" s="25" t="s">
        <v>22</v>
      </c>
    </row>
    <row r="77" spans="1:20" x14ac:dyDescent="0.2">
      <c r="A77" s="25" t="s">
        <v>22</v>
      </c>
      <c r="B77" s="25" t="s">
        <v>22</v>
      </c>
      <c r="C77" s="25" t="s">
        <v>22</v>
      </c>
      <c r="D77" s="25" t="s">
        <v>22</v>
      </c>
      <c r="E77" s="25" t="s">
        <v>22</v>
      </c>
      <c r="F77" s="25" t="s">
        <v>22</v>
      </c>
      <c r="G77" s="25" t="s">
        <v>22</v>
      </c>
      <c r="H77" s="25" t="s">
        <v>22</v>
      </c>
      <c r="I77" s="25" t="s">
        <v>22</v>
      </c>
      <c r="J77" s="25" t="s">
        <v>22</v>
      </c>
      <c r="K77" s="25" t="s">
        <v>22</v>
      </c>
      <c r="L77" s="25" t="s">
        <v>22</v>
      </c>
      <c r="M77" s="25" t="s">
        <v>22</v>
      </c>
      <c r="N77" s="25" t="s">
        <v>22</v>
      </c>
      <c r="O77" s="25" t="s">
        <v>22</v>
      </c>
      <c r="P77" s="25" t="s">
        <v>22</v>
      </c>
      <c r="Q77" s="25" t="s">
        <v>22</v>
      </c>
      <c r="R77" s="25" t="s">
        <v>22</v>
      </c>
      <c r="S77" s="25" t="s">
        <v>22</v>
      </c>
      <c r="T77" s="25" t="s">
        <v>22</v>
      </c>
    </row>
    <row r="78" spans="1:20" x14ac:dyDescent="0.2">
      <c r="A78" s="25" t="s">
        <v>22</v>
      </c>
      <c r="B78" s="25" t="s">
        <v>22</v>
      </c>
      <c r="C78" s="25" t="s">
        <v>22</v>
      </c>
      <c r="D78" s="25" t="s">
        <v>22</v>
      </c>
      <c r="E78" s="25" t="s">
        <v>22</v>
      </c>
      <c r="F78" s="25" t="s">
        <v>22</v>
      </c>
      <c r="G78" s="25" t="s">
        <v>22</v>
      </c>
      <c r="H78" s="25" t="s">
        <v>22</v>
      </c>
      <c r="I78" s="25" t="s">
        <v>22</v>
      </c>
      <c r="J78" s="25" t="s">
        <v>22</v>
      </c>
      <c r="K78" s="25" t="s">
        <v>22</v>
      </c>
      <c r="L78" s="25" t="s">
        <v>22</v>
      </c>
      <c r="M78" s="25" t="s">
        <v>22</v>
      </c>
      <c r="N78" s="25" t="s">
        <v>22</v>
      </c>
      <c r="O78" s="25" t="s">
        <v>22</v>
      </c>
      <c r="P78" s="25" t="s">
        <v>22</v>
      </c>
      <c r="Q78" s="25" t="s">
        <v>22</v>
      </c>
      <c r="R78" s="25" t="s">
        <v>22</v>
      </c>
      <c r="S78" s="25" t="s">
        <v>22</v>
      </c>
      <c r="T78" s="25" t="s">
        <v>22</v>
      </c>
    </row>
    <row r="79" spans="1:20" x14ac:dyDescent="0.2">
      <c r="A79" s="25" t="s">
        <v>22</v>
      </c>
      <c r="B79" s="25" t="s">
        <v>22</v>
      </c>
      <c r="C79" s="25" t="s">
        <v>22</v>
      </c>
      <c r="D79" s="25" t="s">
        <v>22</v>
      </c>
      <c r="E79" s="25" t="s">
        <v>22</v>
      </c>
      <c r="F79" s="25" t="s">
        <v>22</v>
      </c>
      <c r="G79" s="25" t="s">
        <v>22</v>
      </c>
      <c r="H79" s="25" t="s">
        <v>22</v>
      </c>
      <c r="I79" s="25" t="s">
        <v>22</v>
      </c>
      <c r="J79" s="25" t="s">
        <v>22</v>
      </c>
      <c r="K79" s="25" t="s">
        <v>22</v>
      </c>
      <c r="L79" s="25" t="s">
        <v>22</v>
      </c>
      <c r="M79" s="25" t="s">
        <v>22</v>
      </c>
      <c r="N79" s="25" t="s">
        <v>22</v>
      </c>
      <c r="O79" s="25" t="s">
        <v>22</v>
      </c>
      <c r="P79" s="25" t="s">
        <v>22</v>
      </c>
      <c r="Q79" s="25" t="s">
        <v>22</v>
      </c>
      <c r="R79" s="25" t="s">
        <v>22</v>
      </c>
      <c r="S79" s="25" t="s">
        <v>22</v>
      </c>
      <c r="T79" s="25" t="s">
        <v>22</v>
      </c>
    </row>
    <row r="80" spans="1:20" x14ac:dyDescent="0.2">
      <c r="A80" s="25" t="s">
        <v>22</v>
      </c>
      <c r="B80" s="25" t="s">
        <v>22</v>
      </c>
      <c r="C80" s="25" t="s">
        <v>22</v>
      </c>
      <c r="D80" s="25" t="s">
        <v>22</v>
      </c>
      <c r="E80" s="25" t="s">
        <v>22</v>
      </c>
      <c r="F80" s="25" t="s">
        <v>22</v>
      </c>
      <c r="G80" s="25" t="s">
        <v>22</v>
      </c>
      <c r="H80" s="25" t="s">
        <v>22</v>
      </c>
      <c r="I80" s="25" t="s">
        <v>22</v>
      </c>
      <c r="J80" s="25" t="s">
        <v>22</v>
      </c>
      <c r="K80" s="25" t="s">
        <v>22</v>
      </c>
      <c r="L80" s="25" t="s">
        <v>22</v>
      </c>
      <c r="M80" s="25" t="s">
        <v>22</v>
      </c>
      <c r="N80" s="25" t="s">
        <v>22</v>
      </c>
      <c r="O80" s="25" t="s">
        <v>22</v>
      </c>
      <c r="P80" s="25" t="s">
        <v>22</v>
      </c>
      <c r="Q80" s="25" t="s">
        <v>22</v>
      </c>
      <c r="R80" s="25" t="s">
        <v>22</v>
      </c>
      <c r="S80" s="25" t="s">
        <v>22</v>
      </c>
      <c r="T80" s="25" t="s">
        <v>22</v>
      </c>
    </row>
    <row r="81" spans="1:20" x14ac:dyDescent="0.2">
      <c r="A81" s="25" t="s">
        <v>22</v>
      </c>
      <c r="B81" s="25" t="s">
        <v>22</v>
      </c>
      <c r="C81" s="25" t="s">
        <v>22</v>
      </c>
      <c r="D81" s="25" t="s">
        <v>22</v>
      </c>
      <c r="E81" s="25" t="s">
        <v>22</v>
      </c>
      <c r="F81" s="25" t="s">
        <v>22</v>
      </c>
      <c r="G81" s="25" t="s">
        <v>22</v>
      </c>
      <c r="H81" s="25" t="s">
        <v>22</v>
      </c>
      <c r="I81" s="25" t="s">
        <v>22</v>
      </c>
      <c r="J81" s="25" t="s">
        <v>22</v>
      </c>
      <c r="K81" s="25" t="s">
        <v>22</v>
      </c>
      <c r="L81" s="25" t="s">
        <v>22</v>
      </c>
      <c r="M81" s="25" t="s">
        <v>22</v>
      </c>
      <c r="N81" s="25" t="s">
        <v>22</v>
      </c>
      <c r="O81" s="25" t="s">
        <v>22</v>
      </c>
      <c r="P81" s="25" t="s">
        <v>22</v>
      </c>
      <c r="Q81" s="25" t="s">
        <v>22</v>
      </c>
      <c r="R81" s="25" t="s">
        <v>22</v>
      </c>
      <c r="S81" s="25" t="s">
        <v>22</v>
      </c>
      <c r="T81" s="25" t="s">
        <v>22</v>
      </c>
    </row>
    <row r="82" spans="1:20" x14ac:dyDescent="0.2">
      <c r="A82" s="25" t="s">
        <v>22</v>
      </c>
      <c r="B82" s="25" t="s">
        <v>22</v>
      </c>
      <c r="C82" s="25" t="s">
        <v>22</v>
      </c>
      <c r="D82" s="25" t="s">
        <v>22</v>
      </c>
      <c r="E82" s="25" t="s">
        <v>22</v>
      </c>
      <c r="F82" s="25" t="s">
        <v>22</v>
      </c>
      <c r="G82" s="25" t="s">
        <v>22</v>
      </c>
      <c r="H82" s="25" t="s">
        <v>22</v>
      </c>
      <c r="I82" s="25" t="s">
        <v>22</v>
      </c>
      <c r="J82" s="25" t="s">
        <v>22</v>
      </c>
      <c r="K82" s="25" t="s">
        <v>22</v>
      </c>
      <c r="L82" s="25" t="s">
        <v>22</v>
      </c>
      <c r="M82" s="25" t="s">
        <v>22</v>
      </c>
      <c r="N82" s="25" t="s">
        <v>22</v>
      </c>
      <c r="O82" s="25" t="s">
        <v>22</v>
      </c>
      <c r="P82" s="25" t="s">
        <v>22</v>
      </c>
      <c r="Q82" s="25" t="s">
        <v>22</v>
      </c>
      <c r="R82" s="25" t="s">
        <v>22</v>
      </c>
      <c r="S82" s="25" t="s">
        <v>22</v>
      </c>
      <c r="T82" s="25" t="s">
        <v>22</v>
      </c>
    </row>
    <row r="83" spans="1:20" x14ac:dyDescent="0.2">
      <c r="A83" s="25" t="s">
        <v>22</v>
      </c>
      <c r="B83" s="25" t="s">
        <v>22</v>
      </c>
      <c r="C83" s="25" t="s">
        <v>22</v>
      </c>
      <c r="D83" s="25" t="s">
        <v>22</v>
      </c>
      <c r="E83" s="25" t="s">
        <v>22</v>
      </c>
      <c r="F83" s="25" t="s">
        <v>22</v>
      </c>
      <c r="G83" s="25" t="s">
        <v>22</v>
      </c>
      <c r="H83" s="25" t="s">
        <v>22</v>
      </c>
      <c r="I83" s="25" t="s">
        <v>22</v>
      </c>
      <c r="J83" s="25" t="s">
        <v>22</v>
      </c>
      <c r="K83" s="25" t="s">
        <v>22</v>
      </c>
      <c r="L83" s="25" t="s">
        <v>22</v>
      </c>
      <c r="M83" s="25" t="s">
        <v>22</v>
      </c>
      <c r="N83" s="25" t="s">
        <v>22</v>
      </c>
      <c r="O83" s="25" t="s">
        <v>22</v>
      </c>
      <c r="P83" s="25" t="s">
        <v>22</v>
      </c>
      <c r="Q83" s="25" t="s">
        <v>22</v>
      </c>
      <c r="R83" s="25" t="s">
        <v>22</v>
      </c>
      <c r="S83" s="25" t="s">
        <v>22</v>
      </c>
      <c r="T83" s="25" t="s">
        <v>22</v>
      </c>
    </row>
    <row r="84" spans="1:20" x14ac:dyDescent="0.2">
      <c r="A84" s="25" t="s">
        <v>22</v>
      </c>
      <c r="B84" s="25" t="s">
        <v>22</v>
      </c>
      <c r="C84" s="25" t="s">
        <v>22</v>
      </c>
      <c r="D84" s="25" t="s">
        <v>22</v>
      </c>
      <c r="E84" s="25" t="s">
        <v>22</v>
      </c>
      <c r="F84" s="25" t="s">
        <v>22</v>
      </c>
      <c r="G84" s="25" t="s">
        <v>22</v>
      </c>
      <c r="H84" s="25" t="s">
        <v>22</v>
      </c>
      <c r="I84" s="25" t="s">
        <v>22</v>
      </c>
      <c r="J84" s="25" t="s">
        <v>22</v>
      </c>
      <c r="K84" s="25" t="s">
        <v>22</v>
      </c>
      <c r="L84" s="25" t="s">
        <v>22</v>
      </c>
      <c r="M84" s="25" t="s">
        <v>22</v>
      </c>
      <c r="N84" s="25" t="s">
        <v>22</v>
      </c>
      <c r="O84" s="25" t="s">
        <v>22</v>
      </c>
      <c r="P84" s="25" t="s">
        <v>22</v>
      </c>
      <c r="Q84" s="25" t="s">
        <v>22</v>
      </c>
      <c r="R84" s="25" t="s">
        <v>22</v>
      </c>
      <c r="S84" s="25" t="s">
        <v>22</v>
      </c>
      <c r="T84" s="25" t="s">
        <v>22</v>
      </c>
    </row>
    <row r="85" spans="1:20" x14ac:dyDescent="0.2">
      <c r="A85" s="25" t="s">
        <v>22</v>
      </c>
      <c r="B85" s="25" t="s">
        <v>22</v>
      </c>
      <c r="C85" s="25" t="s">
        <v>22</v>
      </c>
      <c r="D85" s="25" t="s">
        <v>22</v>
      </c>
      <c r="E85" s="25" t="s">
        <v>22</v>
      </c>
      <c r="F85" s="25" t="s">
        <v>22</v>
      </c>
      <c r="G85" s="25" t="s">
        <v>22</v>
      </c>
      <c r="H85" s="25" t="s">
        <v>22</v>
      </c>
      <c r="I85" s="25" t="s">
        <v>22</v>
      </c>
      <c r="J85" s="25" t="s">
        <v>22</v>
      </c>
      <c r="K85" s="25" t="s">
        <v>22</v>
      </c>
      <c r="L85" s="25" t="s">
        <v>22</v>
      </c>
      <c r="M85" s="25" t="s">
        <v>22</v>
      </c>
      <c r="N85" s="25" t="s">
        <v>22</v>
      </c>
      <c r="O85" s="25" t="s">
        <v>22</v>
      </c>
      <c r="P85" s="25" t="s">
        <v>22</v>
      </c>
      <c r="Q85" s="25" t="s">
        <v>22</v>
      </c>
      <c r="R85" s="25" t="s">
        <v>22</v>
      </c>
      <c r="S85" s="25" t="s">
        <v>22</v>
      </c>
      <c r="T85" s="25" t="s">
        <v>22</v>
      </c>
    </row>
    <row r="86" spans="1:20" x14ac:dyDescent="0.2">
      <c r="A86" s="25" t="s">
        <v>22</v>
      </c>
      <c r="B86" s="25" t="s">
        <v>22</v>
      </c>
      <c r="C86" s="25" t="s">
        <v>22</v>
      </c>
      <c r="D86" s="25" t="s">
        <v>22</v>
      </c>
      <c r="E86" s="25" t="s">
        <v>22</v>
      </c>
      <c r="F86" s="25" t="s">
        <v>22</v>
      </c>
      <c r="G86" s="25" t="s">
        <v>22</v>
      </c>
      <c r="H86" s="25" t="s">
        <v>22</v>
      </c>
      <c r="I86" s="25" t="s">
        <v>22</v>
      </c>
      <c r="J86" s="25" t="s">
        <v>22</v>
      </c>
      <c r="K86" s="25" t="s">
        <v>22</v>
      </c>
      <c r="L86" s="25" t="s">
        <v>22</v>
      </c>
      <c r="M86" s="25" t="s">
        <v>22</v>
      </c>
      <c r="N86" s="25" t="s">
        <v>22</v>
      </c>
      <c r="O86" s="25" t="s">
        <v>22</v>
      </c>
      <c r="P86" s="25" t="s">
        <v>22</v>
      </c>
      <c r="Q86" s="25" t="s">
        <v>22</v>
      </c>
      <c r="R86" s="25" t="s">
        <v>22</v>
      </c>
      <c r="S86" s="25" t="s">
        <v>22</v>
      </c>
      <c r="T86" s="25" t="s">
        <v>22</v>
      </c>
    </row>
    <row r="87" spans="1:20" x14ac:dyDescent="0.2">
      <c r="A87" s="25" t="s">
        <v>22</v>
      </c>
      <c r="B87" s="25" t="s">
        <v>22</v>
      </c>
      <c r="C87" s="25" t="s">
        <v>22</v>
      </c>
      <c r="D87" s="25" t="s">
        <v>22</v>
      </c>
      <c r="E87" s="25" t="s">
        <v>22</v>
      </c>
      <c r="F87" s="25" t="s">
        <v>22</v>
      </c>
      <c r="G87" s="25" t="s">
        <v>22</v>
      </c>
      <c r="H87" s="25" t="s">
        <v>22</v>
      </c>
      <c r="I87" s="25" t="s">
        <v>22</v>
      </c>
      <c r="J87" s="25" t="s">
        <v>22</v>
      </c>
      <c r="K87" s="25" t="s">
        <v>22</v>
      </c>
      <c r="L87" s="25" t="s">
        <v>22</v>
      </c>
      <c r="M87" s="25" t="s">
        <v>22</v>
      </c>
      <c r="N87" s="25" t="s">
        <v>22</v>
      </c>
      <c r="O87" s="25" t="s">
        <v>22</v>
      </c>
      <c r="P87" s="25" t="s">
        <v>22</v>
      </c>
      <c r="Q87" s="25" t="s">
        <v>22</v>
      </c>
      <c r="R87" s="25" t="s">
        <v>22</v>
      </c>
      <c r="S87" s="25" t="s">
        <v>22</v>
      </c>
      <c r="T87" s="25" t="s">
        <v>22</v>
      </c>
    </row>
    <row r="88" spans="1:20" x14ac:dyDescent="0.2">
      <c r="A88" s="25" t="s">
        <v>22</v>
      </c>
      <c r="B88" s="25" t="s">
        <v>22</v>
      </c>
      <c r="C88" s="25" t="s">
        <v>22</v>
      </c>
      <c r="D88" s="25" t="s">
        <v>22</v>
      </c>
      <c r="E88" s="25" t="s">
        <v>22</v>
      </c>
      <c r="F88" s="25" t="s">
        <v>22</v>
      </c>
      <c r="G88" s="25" t="s">
        <v>22</v>
      </c>
      <c r="H88" s="25" t="s">
        <v>22</v>
      </c>
      <c r="I88" s="25" t="s">
        <v>22</v>
      </c>
      <c r="J88" s="25" t="s">
        <v>22</v>
      </c>
      <c r="K88" s="25" t="s">
        <v>22</v>
      </c>
      <c r="L88" s="25" t="s">
        <v>22</v>
      </c>
      <c r="M88" s="25" t="s">
        <v>22</v>
      </c>
      <c r="N88" s="25" t="s">
        <v>22</v>
      </c>
      <c r="O88" s="25" t="s">
        <v>22</v>
      </c>
      <c r="P88" s="25" t="s">
        <v>22</v>
      </c>
      <c r="Q88" s="25" t="s">
        <v>22</v>
      </c>
      <c r="R88" s="25" t="s">
        <v>22</v>
      </c>
      <c r="S88" s="25" t="s">
        <v>22</v>
      </c>
      <c r="T88" s="25" t="s">
        <v>22</v>
      </c>
    </row>
    <row r="89" spans="1:20" x14ac:dyDescent="0.2">
      <c r="A89" s="25" t="s">
        <v>22</v>
      </c>
      <c r="B89" s="25" t="s">
        <v>22</v>
      </c>
      <c r="C89" s="25" t="s">
        <v>22</v>
      </c>
      <c r="D89" s="25" t="s">
        <v>22</v>
      </c>
      <c r="E89" s="25" t="s">
        <v>22</v>
      </c>
      <c r="F89" s="25" t="s">
        <v>22</v>
      </c>
      <c r="G89" s="25" t="s">
        <v>22</v>
      </c>
      <c r="H89" s="25" t="s">
        <v>22</v>
      </c>
      <c r="I89" s="25" t="s">
        <v>22</v>
      </c>
      <c r="J89" s="25" t="s">
        <v>22</v>
      </c>
      <c r="K89" s="25" t="s">
        <v>22</v>
      </c>
      <c r="L89" s="25" t="s">
        <v>22</v>
      </c>
      <c r="M89" s="25" t="s">
        <v>22</v>
      </c>
      <c r="N89" s="25" t="s">
        <v>22</v>
      </c>
      <c r="O89" s="25" t="s">
        <v>22</v>
      </c>
      <c r="P89" s="25" t="s">
        <v>22</v>
      </c>
      <c r="Q89" s="25" t="s">
        <v>22</v>
      </c>
      <c r="R89" s="25" t="s">
        <v>22</v>
      </c>
      <c r="S89" s="25" t="s">
        <v>22</v>
      </c>
      <c r="T89" s="25" t="s">
        <v>22</v>
      </c>
    </row>
    <row r="90" spans="1:20" x14ac:dyDescent="0.2">
      <c r="A90" s="25" t="s">
        <v>22</v>
      </c>
      <c r="B90" s="25" t="s">
        <v>22</v>
      </c>
      <c r="C90" s="25" t="s">
        <v>22</v>
      </c>
      <c r="D90" s="25" t="s">
        <v>22</v>
      </c>
      <c r="E90" s="25" t="s">
        <v>22</v>
      </c>
      <c r="F90" s="25" t="s">
        <v>22</v>
      </c>
      <c r="G90" s="25" t="s">
        <v>22</v>
      </c>
      <c r="H90" s="25" t="s">
        <v>22</v>
      </c>
      <c r="I90" s="25" t="s">
        <v>22</v>
      </c>
      <c r="J90" s="25" t="s">
        <v>22</v>
      </c>
      <c r="K90" s="25" t="s">
        <v>22</v>
      </c>
      <c r="L90" s="25" t="s">
        <v>22</v>
      </c>
      <c r="M90" s="25" t="s">
        <v>22</v>
      </c>
      <c r="N90" s="25" t="s">
        <v>22</v>
      </c>
      <c r="O90" s="25" t="s">
        <v>22</v>
      </c>
      <c r="P90" s="25" t="s">
        <v>22</v>
      </c>
      <c r="Q90" s="25" t="s">
        <v>22</v>
      </c>
      <c r="R90" s="25" t="s">
        <v>22</v>
      </c>
      <c r="S90" s="25" t="s">
        <v>22</v>
      </c>
      <c r="T90" s="25" t="s">
        <v>22</v>
      </c>
    </row>
    <row r="91" spans="1:20" x14ac:dyDescent="0.2">
      <c r="A91" s="25" t="s">
        <v>22</v>
      </c>
      <c r="B91" s="25" t="s">
        <v>22</v>
      </c>
      <c r="C91" s="25" t="s">
        <v>22</v>
      </c>
      <c r="D91" s="25" t="s">
        <v>22</v>
      </c>
      <c r="E91" s="25" t="s">
        <v>22</v>
      </c>
      <c r="F91" s="25" t="s">
        <v>22</v>
      </c>
      <c r="G91" s="25" t="s">
        <v>22</v>
      </c>
      <c r="H91" s="25" t="s">
        <v>22</v>
      </c>
      <c r="I91" s="25" t="s">
        <v>22</v>
      </c>
      <c r="J91" s="25" t="s">
        <v>22</v>
      </c>
      <c r="K91" s="25" t="s">
        <v>22</v>
      </c>
      <c r="L91" s="25" t="s">
        <v>22</v>
      </c>
      <c r="M91" s="25" t="s">
        <v>22</v>
      </c>
      <c r="N91" s="25" t="s">
        <v>22</v>
      </c>
      <c r="O91" s="25" t="s">
        <v>22</v>
      </c>
      <c r="P91" s="25" t="s">
        <v>22</v>
      </c>
      <c r="Q91" s="25" t="s">
        <v>22</v>
      </c>
      <c r="R91" s="25" t="s">
        <v>22</v>
      </c>
      <c r="S91" s="25" t="s">
        <v>22</v>
      </c>
      <c r="T91" s="25" t="s">
        <v>22</v>
      </c>
    </row>
    <row r="92" spans="1:20" x14ac:dyDescent="0.2">
      <c r="A92" s="25" t="s">
        <v>22</v>
      </c>
      <c r="B92" s="25" t="s">
        <v>22</v>
      </c>
      <c r="C92" s="25" t="s">
        <v>22</v>
      </c>
      <c r="D92" s="25" t="s">
        <v>22</v>
      </c>
      <c r="E92" s="25" t="s">
        <v>22</v>
      </c>
      <c r="F92" s="25" t="s">
        <v>22</v>
      </c>
      <c r="G92" s="25" t="s">
        <v>22</v>
      </c>
      <c r="H92" s="25" t="s">
        <v>22</v>
      </c>
      <c r="I92" s="25" t="s">
        <v>22</v>
      </c>
      <c r="J92" s="25" t="s">
        <v>22</v>
      </c>
      <c r="K92" s="25" t="s">
        <v>22</v>
      </c>
      <c r="L92" s="25" t="s">
        <v>22</v>
      </c>
      <c r="M92" s="25" t="s">
        <v>22</v>
      </c>
      <c r="N92" s="25" t="s">
        <v>22</v>
      </c>
      <c r="O92" s="25" t="s">
        <v>22</v>
      </c>
      <c r="P92" s="25" t="s">
        <v>22</v>
      </c>
      <c r="Q92" s="25" t="s">
        <v>22</v>
      </c>
      <c r="R92" s="25" t="s">
        <v>22</v>
      </c>
      <c r="S92" s="25" t="s">
        <v>22</v>
      </c>
      <c r="T92" s="25" t="s">
        <v>22</v>
      </c>
    </row>
    <row r="93" spans="1:20" x14ac:dyDescent="0.2">
      <c r="A93" s="25" t="s">
        <v>22</v>
      </c>
      <c r="B93" s="25" t="s">
        <v>22</v>
      </c>
      <c r="C93" s="25" t="s">
        <v>22</v>
      </c>
      <c r="D93" s="25" t="s">
        <v>22</v>
      </c>
      <c r="E93" s="25" t="s">
        <v>22</v>
      </c>
      <c r="F93" s="25" t="s">
        <v>22</v>
      </c>
      <c r="G93" s="25" t="s">
        <v>22</v>
      </c>
      <c r="H93" s="25" t="s">
        <v>22</v>
      </c>
      <c r="I93" s="25" t="s">
        <v>22</v>
      </c>
      <c r="J93" s="25" t="s">
        <v>22</v>
      </c>
      <c r="K93" s="25" t="s">
        <v>22</v>
      </c>
      <c r="L93" s="25" t="s">
        <v>22</v>
      </c>
      <c r="M93" s="25" t="s">
        <v>22</v>
      </c>
      <c r="N93" s="25" t="s">
        <v>22</v>
      </c>
      <c r="O93" s="25" t="s">
        <v>22</v>
      </c>
      <c r="P93" s="25" t="s">
        <v>22</v>
      </c>
      <c r="Q93" s="25" t="s">
        <v>22</v>
      </c>
      <c r="R93" s="25" t="s">
        <v>22</v>
      </c>
      <c r="S93" s="25" t="s">
        <v>22</v>
      </c>
      <c r="T93" s="25" t="s">
        <v>22</v>
      </c>
    </row>
    <row r="94" spans="1:20" x14ac:dyDescent="0.2">
      <c r="A94" s="25" t="s">
        <v>22</v>
      </c>
      <c r="B94" s="25" t="s">
        <v>22</v>
      </c>
      <c r="C94" s="25" t="s">
        <v>22</v>
      </c>
      <c r="D94" s="25" t="s">
        <v>22</v>
      </c>
      <c r="E94" s="25" t="s">
        <v>22</v>
      </c>
      <c r="F94" s="25" t="s">
        <v>22</v>
      </c>
      <c r="G94" s="25" t="s">
        <v>22</v>
      </c>
      <c r="H94" s="25" t="s">
        <v>22</v>
      </c>
      <c r="I94" s="25" t="s">
        <v>22</v>
      </c>
      <c r="J94" s="25" t="s">
        <v>22</v>
      </c>
      <c r="K94" s="25" t="s">
        <v>22</v>
      </c>
      <c r="L94" s="25" t="s">
        <v>22</v>
      </c>
      <c r="M94" s="25" t="s">
        <v>22</v>
      </c>
      <c r="N94" s="25" t="s">
        <v>22</v>
      </c>
      <c r="O94" s="25" t="s">
        <v>22</v>
      </c>
      <c r="P94" s="25" t="s">
        <v>22</v>
      </c>
      <c r="Q94" s="25" t="s">
        <v>22</v>
      </c>
      <c r="R94" s="25" t="s">
        <v>22</v>
      </c>
      <c r="S94" s="25" t="s">
        <v>22</v>
      </c>
      <c r="T94" s="25" t="s">
        <v>22</v>
      </c>
    </row>
    <row r="95" spans="1:20" x14ac:dyDescent="0.2">
      <c r="A95" s="25" t="s">
        <v>22</v>
      </c>
      <c r="B95" s="25" t="s">
        <v>22</v>
      </c>
      <c r="C95" s="25" t="s">
        <v>22</v>
      </c>
      <c r="D95" s="25" t="s">
        <v>22</v>
      </c>
      <c r="E95" s="25" t="s">
        <v>22</v>
      </c>
      <c r="F95" s="25" t="s">
        <v>22</v>
      </c>
      <c r="G95" s="25" t="s">
        <v>22</v>
      </c>
      <c r="H95" s="25" t="s">
        <v>22</v>
      </c>
      <c r="I95" s="25" t="s">
        <v>22</v>
      </c>
      <c r="J95" s="25" t="s">
        <v>22</v>
      </c>
      <c r="K95" s="25" t="s">
        <v>22</v>
      </c>
      <c r="L95" s="25" t="s">
        <v>22</v>
      </c>
      <c r="M95" s="25" t="s">
        <v>22</v>
      </c>
      <c r="N95" s="25" t="s">
        <v>22</v>
      </c>
      <c r="O95" s="25" t="s">
        <v>22</v>
      </c>
      <c r="P95" s="25" t="s">
        <v>22</v>
      </c>
      <c r="Q95" s="25" t="s">
        <v>22</v>
      </c>
      <c r="R95" s="25" t="s">
        <v>22</v>
      </c>
      <c r="S95" s="25" t="s">
        <v>22</v>
      </c>
      <c r="T95" s="25" t="s">
        <v>22</v>
      </c>
    </row>
    <row r="96" spans="1:20" x14ac:dyDescent="0.2">
      <c r="A96" s="25" t="s">
        <v>22</v>
      </c>
      <c r="B96" s="25" t="s">
        <v>22</v>
      </c>
      <c r="C96" s="25" t="s">
        <v>22</v>
      </c>
      <c r="D96" s="25" t="s">
        <v>22</v>
      </c>
      <c r="E96" s="25" t="s">
        <v>22</v>
      </c>
      <c r="F96" s="25" t="s">
        <v>22</v>
      </c>
      <c r="G96" s="25" t="s">
        <v>22</v>
      </c>
      <c r="H96" s="25" t="s">
        <v>22</v>
      </c>
      <c r="I96" s="25" t="s">
        <v>22</v>
      </c>
      <c r="J96" s="25" t="s">
        <v>22</v>
      </c>
      <c r="K96" s="25" t="s">
        <v>22</v>
      </c>
      <c r="L96" s="25" t="s">
        <v>22</v>
      </c>
      <c r="M96" s="25" t="s">
        <v>22</v>
      </c>
      <c r="N96" s="25" t="s">
        <v>22</v>
      </c>
      <c r="O96" s="25" t="s">
        <v>22</v>
      </c>
      <c r="P96" s="25" t="s">
        <v>22</v>
      </c>
      <c r="Q96" s="25" t="s">
        <v>22</v>
      </c>
      <c r="R96" s="25" t="s">
        <v>22</v>
      </c>
      <c r="S96" s="25" t="s">
        <v>22</v>
      </c>
      <c r="T96" s="25" t="s">
        <v>22</v>
      </c>
    </row>
    <row r="97" spans="1:20" x14ac:dyDescent="0.2">
      <c r="A97" s="25" t="s">
        <v>22</v>
      </c>
      <c r="B97" s="25" t="s">
        <v>22</v>
      </c>
      <c r="C97" s="25" t="s">
        <v>22</v>
      </c>
      <c r="D97" s="25" t="s">
        <v>22</v>
      </c>
      <c r="E97" s="25" t="s">
        <v>22</v>
      </c>
      <c r="F97" s="25" t="s">
        <v>22</v>
      </c>
      <c r="G97" s="25" t="s">
        <v>22</v>
      </c>
      <c r="H97" s="25" t="s">
        <v>22</v>
      </c>
      <c r="I97" s="25" t="s">
        <v>22</v>
      </c>
      <c r="J97" s="25" t="s">
        <v>22</v>
      </c>
      <c r="K97" s="25" t="s">
        <v>22</v>
      </c>
      <c r="L97" s="25" t="s">
        <v>22</v>
      </c>
      <c r="M97" s="25" t="s">
        <v>22</v>
      </c>
      <c r="N97" s="25" t="s">
        <v>22</v>
      </c>
      <c r="O97" s="25" t="s">
        <v>22</v>
      </c>
      <c r="P97" s="25" t="s">
        <v>22</v>
      </c>
      <c r="Q97" s="25" t="s">
        <v>22</v>
      </c>
      <c r="R97" s="25" t="s">
        <v>22</v>
      </c>
      <c r="S97" s="25" t="s">
        <v>22</v>
      </c>
      <c r="T97" s="25" t="s">
        <v>22</v>
      </c>
    </row>
    <row r="98" spans="1:20" x14ac:dyDescent="0.2">
      <c r="A98" s="25" t="s">
        <v>22</v>
      </c>
      <c r="B98" s="25" t="s">
        <v>22</v>
      </c>
      <c r="C98" s="25" t="s">
        <v>22</v>
      </c>
      <c r="D98" s="25" t="s">
        <v>22</v>
      </c>
      <c r="E98" s="25" t="s">
        <v>22</v>
      </c>
      <c r="F98" s="25" t="s">
        <v>22</v>
      </c>
      <c r="G98" s="25" t="s">
        <v>22</v>
      </c>
      <c r="H98" s="25" t="s">
        <v>22</v>
      </c>
      <c r="I98" s="25" t="s">
        <v>22</v>
      </c>
      <c r="J98" s="25" t="s">
        <v>22</v>
      </c>
      <c r="K98" s="25" t="s">
        <v>22</v>
      </c>
      <c r="L98" s="25" t="s">
        <v>22</v>
      </c>
      <c r="M98" s="25" t="s">
        <v>22</v>
      </c>
      <c r="N98" s="25" t="s">
        <v>22</v>
      </c>
      <c r="O98" s="25" t="s">
        <v>22</v>
      </c>
      <c r="P98" s="25" t="s">
        <v>22</v>
      </c>
      <c r="Q98" s="25" t="s">
        <v>22</v>
      </c>
      <c r="R98" s="25" t="s">
        <v>22</v>
      </c>
      <c r="S98" s="25" t="s">
        <v>22</v>
      </c>
      <c r="T98" s="25" t="s">
        <v>22</v>
      </c>
    </row>
    <row r="99" spans="1:20" x14ac:dyDescent="0.2">
      <c r="A99" s="25" t="s">
        <v>22</v>
      </c>
      <c r="B99" s="25" t="s">
        <v>22</v>
      </c>
      <c r="C99" s="25" t="s">
        <v>22</v>
      </c>
      <c r="D99" s="25" t="s">
        <v>22</v>
      </c>
      <c r="E99" s="25" t="s">
        <v>22</v>
      </c>
      <c r="F99" s="25" t="s">
        <v>22</v>
      </c>
      <c r="G99" s="25" t="s">
        <v>22</v>
      </c>
      <c r="H99" s="25" t="s">
        <v>22</v>
      </c>
      <c r="I99" s="25" t="s">
        <v>22</v>
      </c>
      <c r="J99" s="25" t="s">
        <v>22</v>
      </c>
      <c r="K99" s="25" t="s">
        <v>22</v>
      </c>
      <c r="L99" s="25" t="s">
        <v>22</v>
      </c>
      <c r="M99" s="25" t="s">
        <v>22</v>
      </c>
      <c r="N99" s="25" t="s">
        <v>22</v>
      </c>
      <c r="O99" s="25" t="s">
        <v>22</v>
      </c>
      <c r="P99" s="25" t="s">
        <v>22</v>
      </c>
      <c r="Q99" s="25" t="s">
        <v>22</v>
      </c>
      <c r="R99" s="25" t="s">
        <v>22</v>
      </c>
      <c r="S99" s="25" t="s">
        <v>22</v>
      </c>
      <c r="T99" s="25" t="s">
        <v>22</v>
      </c>
    </row>
    <row r="100" spans="1:20" x14ac:dyDescent="0.2">
      <c r="A100" s="25" t="s">
        <v>22</v>
      </c>
      <c r="B100" s="25" t="s">
        <v>22</v>
      </c>
      <c r="C100" s="25" t="s">
        <v>22</v>
      </c>
      <c r="D100" s="25" t="s">
        <v>22</v>
      </c>
      <c r="E100" s="25" t="s">
        <v>22</v>
      </c>
      <c r="F100" s="25" t="s">
        <v>22</v>
      </c>
      <c r="G100" s="25" t="s">
        <v>22</v>
      </c>
      <c r="H100" s="25" t="s">
        <v>22</v>
      </c>
      <c r="I100" s="25" t="s">
        <v>22</v>
      </c>
      <c r="J100" s="25" t="s">
        <v>22</v>
      </c>
      <c r="K100" s="25" t="s">
        <v>22</v>
      </c>
      <c r="L100" s="25" t="s">
        <v>22</v>
      </c>
      <c r="M100" s="25" t="s">
        <v>22</v>
      </c>
      <c r="N100" s="25" t="s">
        <v>22</v>
      </c>
      <c r="O100" s="25" t="s">
        <v>22</v>
      </c>
      <c r="P100" s="25" t="s">
        <v>22</v>
      </c>
      <c r="Q100" s="25" t="s">
        <v>22</v>
      </c>
      <c r="R100" s="25" t="s">
        <v>22</v>
      </c>
      <c r="S100" s="25" t="s">
        <v>22</v>
      </c>
      <c r="T100" s="25" t="s">
        <v>22</v>
      </c>
    </row>
    <row r="101" spans="1:20" x14ac:dyDescent="0.2">
      <c r="A101" s="25" t="s">
        <v>22</v>
      </c>
      <c r="B101" s="25" t="s">
        <v>22</v>
      </c>
      <c r="C101" s="25" t="s">
        <v>22</v>
      </c>
      <c r="D101" s="25" t="s">
        <v>22</v>
      </c>
      <c r="E101" s="25" t="s">
        <v>22</v>
      </c>
      <c r="F101" s="25" t="s">
        <v>22</v>
      </c>
      <c r="G101" s="25" t="s">
        <v>22</v>
      </c>
      <c r="H101" s="25" t="s">
        <v>22</v>
      </c>
      <c r="I101" s="25" t="s">
        <v>22</v>
      </c>
      <c r="J101" s="25" t="s">
        <v>22</v>
      </c>
      <c r="K101" s="25" t="s">
        <v>22</v>
      </c>
      <c r="L101" s="25" t="s">
        <v>22</v>
      </c>
      <c r="M101" s="25" t="s">
        <v>22</v>
      </c>
      <c r="N101" s="25" t="s">
        <v>22</v>
      </c>
      <c r="O101" s="25" t="s">
        <v>22</v>
      </c>
      <c r="P101" s="25" t="s">
        <v>22</v>
      </c>
      <c r="Q101" s="25" t="s">
        <v>22</v>
      </c>
      <c r="R101" s="25" t="s">
        <v>22</v>
      </c>
      <c r="S101" s="25" t="s">
        <v>22</v>
      </c>
      <c r="T101" s="25" t="s">
        <v>22</v>
      </c>
    </row>
    <row r="102" spans="1:20" x14ac:dyDescent="0.2">
      <c r="A102" s="25" t="s">
        <v>22</v>
      </c>
      <c r="B102" s="25" t="s">
        <v>22</v>
      </c>
      <c r="C102" s="25" t="s">
        <v>22</v>
      </c>
      <c r="D102" s="25" t="s">
        <v>22</v>
      </c>
      <c r="E102" s="25" t="s">
        <v>22</v>
      </c>
      <c r="F102" s="25" t="s">
        <v>22</v>
      </c>
      <c r="G102" s="25" t="s">
        <v>22</v>
      </c>
      <c r="H102" s="25" t="s">
        <v>22</v>
      </c>
      <c r="I102" s="25" t="s">
        <v>22</v>
      </c>
      <c r="J102" s="25" t="s">
        <v>22</v>
      </c>
      <c r="K102" s="25" t="s">
        <v>22</v>
      </c>
      <c r="L102" s="25" t="s">
        <v>22</v>
      </c>
      <c r="M102" s="25" t="s">
        <v>22</v>
      </c>
      <c r="N102" s="25" t="s">
        <v>22</v>
      </c>
      <c r="O102" s="25" t="s">
        <v>22</v>
      </c>
      <c r="P102" s="25" t="s">
        <v>22</v>
      </c>
      <c r="Q102" s="25" t="s">
        <v>22</v>
      </c>
      <c r="R102" s="25" t="s">
        <v>22</v>
      </c>
      <c r="S102" s="25" t="s">
        <v>22</v>
      </c>
      <c r="T102" s="25" t="s">
        <v>22</v>
      </c>
    </row>
    <row r="103" spans="1:20" x14ac:dyDescent="0.2">
      <c r="A103" s="25" t="s">
        <v>22</v>
      </c>
      <c r="B103" s="25" t="s">
        <v>22</v>
      </c>
      <c r="C103" s="25" t="s">
        <v>22</v>
      </c>
      <c r="D103" s="25" t="s">
        <v>22</v>
      </c>
      <c r="E103" s="25" t="s">
        <v>22</v>
      </c>
      <c r="F103" s="25" t="s">
        <v>22</v>
      </c>
      <c r="G103" s="25" t="s">
        <v>22</v>
      </c>
      <c r="H103" s="25" t="s">
        <v>22</v>
      </c>
      <c r="I103" s="25" t="s">
        <v>22</v>
      </c>
      <c r="J103" s="25" t="s">
        <v>22</v>
      </c>
      <c r="K103" s="25" t="s">
        <v>22</v>
      </c>
      <c r="L103" s="25" t="s">
        <v>22</v>
      </c>
      <c r="M103" s="25" t="s">
        <v>22</v>
      </c>
      <c r="N103" s="25" t="s">
        <v>22</v>
      </c>
      <c r="O103" s="25" t="s">
        <v>22</v>
      </c>
      <c r="P103" s="25" t="s">
        <v>22</v>
      </c>
      <c r="Q103" s="25" t="s">
        <v>22</v>
      </c>
      <c r="R103" s="25" t="s">
        <v>22</v>
      </c>
      <c r="S103" s="25" t="s">
        <v>22</v>
      </c>
      <c r="T103" s="25" t="s">
        <v>22</v>
      </c>
    </row>
    <row r="104" spans="1:20" x14ac:dyDescent="0.2">
      <c r="A104" s="25" t="s">
        <v>22</v>
      </c>
      <c r="B104" s="25" t="s">
        <v>22</v>
      </c>
      <c r="C104" s="25" t="s">
        <v>22</v>
      </c>
      <c r="D104" s="25" t="s">
        <v>22</v>
      </c>
      <c r="E104" s="25" t="s">
        <v>22</v>
      </c>
      <c r="F104" s="25" t="s">
        <v>22</v>
      </c>
      <c r="G104" s="25" t="s">
        <v>22</v>
      </c>
      <c r="H104" s="25" t="s">
        <v>22</v>
      </c>
      <c r="I104" s="25" t="s">
        <v>22</v>
      </c>
      <c r="J104" s="25" t="s">
        <v>22</v>
      </c>
      <c r="K104" s="25" t="s">
        <v>22</v>
      </c>
      <c r="L104" s="25" t="s">
        <v>22</v>
      </c>
      <c r="M104" s="25" t="s">
        <v>22</v>
      </c>
      <c r="N104" s="25" t="s">
        <v>22</v>
      </c>
      <c r="O104" s="25" t="s">
        <v>22</v>
      </c>
      <c r="P104" s="25" t="s">
        <v>22</v>
      </c>
      <c r="Q104" s="25" t="s">
        <v>22</v>
      </c>
      <c r="R104" s="25" t="s">
        <v>22</v>
      </c>
      <c r="S104" s="25" t="s">
        <v>22</v>
      </c>
      <c r="T104" s="25" t="s">
        <v>22</v>
      </c>
    </row>
    <row r="105" spans="1:20" x14ac:dyDescent="0.2">
      <c r="A105" s="25" t="s">
        <v>22</v>
      </c>
      <c r="B105" s="25" t="s">
        <v>22</v>
      </c>
      <c r="C105" s="25" t="s">
        <v>22</v>
      </c>
      <c r="D105" s="25" t="s">
        <v>22</v>
      </c>
      <c r="E105" s="25" t="s">
        <v>22</v>
      </c>
      <c r="F105" s="25" t="s">
        <v>22</v>
      </c>
      <c r="G105" s="25" t="s">
        <v>22</v>
      </c>
      <c r="H105" s="25" t="s">
        <v>22</v>
      </c>
      <c r="I105" s="25" t="s">
        <v>22</v>
      </c>
      <c r="J105" s="25" t="s">
        <v>22</v>
      </c>
      <c r="K105" s="25" t="s">
        <v>22</v>
      </c>
      <c r="L105" s="25" t="s">
        <v>22</v>
      </c>
      <c r="M105" s="25" t="s">
        <v>22</v>
      </c>
      <c r="N105" s="25" t="s">
        <v>22</v>
      </c>
      <c r="O105" s="25" t="s">
        <v>22</v>
      </c>
      <c r="P105" s="25" t="s">
        <v>22</v>
      </c>
      <c r="Q105" s="25" t="s">
        <v>22</v>
      </c>
      <c r="R105" s="25" t="s">
        <v>22</v>
      </c>
      <c r="S105" s="25" t="s">
        <v>22</v>
      </c>
      <c r="T105" s="25" t="s">
        <v>22</v>
      </c>
    </row>
    <row r="106" spans="1:20" x14ac:dyDescent="0.2">
      <c r="A106" s="25" t="s">
        <v>22</v>
      </c>
      <c r="B106" s="25" t="s">
        <v>22</v>
      </c>
      <c r="C106" s="25" t="s">
        <v>22</v>
      </c>
      <c r="D106" s="25" t="s">
        <v>22</v>
      </c>
      <c r="E106" s="25" t="s">
        <v>22</v>
      </c>
      <c r="F106" s="25" t="s">
        <v>22</v>
      </c>
      <c r="G106" s="25" t="s">
        <v>22</v>
      </c>
      <c r="H106" s="25" t="s">
        <v>22</v>
      </c>
      <c r="I106" s="25" t="s">
        <v>22</v>
      </c>
      <c r="J106" s="25" t="s">
        <v>22</v>
      </c>
      <c r="K106" s="25" t="s">
        <v>22</v>
      </c>
      <c r="L106" s="25" t="s">
        <v>22</v>
      </c>
      <c r="M106" s="25" t="s">
        <v>22</v>
      </c>
      <c r="N106" s="25" t="s">
        <v>22</v>
      </c>
      <c r="O106" s="25" t="s">
        <v>22</v>
      </c>
      <c r="P106" s="25" t="s">
        <v>22</v>
      </c>
      <c r="Q106" s="25" t="s">
        <v>22</v>
      </c>
      <c r="R106" s="25" t="s">
        <v>22</v>
      </c>
      <c r="S106" s="25" t="s">
        <v>22</v>
      </c>
      <c r="T106" s="25" t="s">
        <v>22</v>
      </c>
    </row>
    <row r="107" spans="1:20" x14ac:dyDescent="0.2">
      <c r="A107" s="25" t="s">
        <v>22</v>
      </c>
      <c r="B107" s="25" t="s">
        <v>22</v>
      </c>
      <c r="C107" s="25" t="s">
        <v>22</v>
      </c>
      <c r="D107" s="25" t="s">
        <v>22</v>
      </c>
      <c r="E107" s="25" t="s">
        <v>22</v>
      </c>
      <c r="F107" s="25" t="s">
        <v>22</v>
      </c>
      <c r="G107" s="25" t="s">
        <v>22</v>
      </c>
      <c r="H107" s="25" t="s">
        <v>22</v>
      </c>
      <c r="I107" s="25" t="s">
        <v>22</v>
      </c>
      <c r="J107" s="25" t="s">
        <v>22</v>
      </c>
      <c r="K107" s="25" t="s">
        <v>22</v>
      </c>
      <c r="L107" s="25" t="s">
        <v>22</v>
      </c>
      <c r="M107" s="25" t="s">
        <v>22</v>
      </c>
      <c r="N107" s="25" t="s">
        <v>22</v>
      </c>
      <c r="O107" s="25" t="s">
        <v>22</v>
      </c>
      <c r="P107" s="25" t="s">
        <v>22</v>
      </c>
      <c r="Q107" s="25" t="s">
        <v>22</v>
      </c>
      <c r="R107" s="25" t="s">
        <v>22</v>
      </c>
      <c r="S107" s="25" t="s">
        <v>22</v>
      </c>
      <c r="T107" s="25" t="s">
        <v>22</v>
      </c>
    </row>
    <row r="108" spans="1:20" x14ac:dyDescent="0.2">
      <c r="A108" s="25" t="s">
        <v>22</v>
      </c>
      <c r="B108" s="25" t="s">
        <v>22</v>
      </c>
      <c r="C108" s="25" t="s">
        <v>22</v>
      </c>
      <c r="D108" s="25" t="s">
        <v>22</v>
      </c>
      <c r="E108" s="25" t="s">
        <v>22</v>
      </c>
      <c r="F108" s="25" t="s">
        <v>22</v>
      </c>
      <c r="G108" s="25" t="s">
        <v>22</v>
      </c>
      <c r="H108" s="25" t="s">
        <v>22</v>
      </c>
      <c r="I108" s="25" t="s">
        <v>22</v>
      </c>
      <c r="J108" s="25" t="s">
        <v>22</v>
      </c>
      <c r="K108" s="25" t="s">
        <v>22</v>
      </c>
      <c r="L108" s="25" t="s">
        <v>22</v>
      </c>
      <c r="M108" s="25" t="s">
        <v>22</v>
      </c>
      <c r="N108" s="25" t="s">
        <v>22</v>
      </c>
      <c r="O108" s="25" t="s">
        <v>22</v>
      </c>
      <c r="P108" s="25" t="s">
        <v>22</v>
      </c>
      <c r="Q108" s="25" t="s">
        <v>22</v>
      </c>
      <c r="R108" s="25" t="s">
        <v>22</v>
      </c>
      <c r="S108" s="25" t="s">
        <v>22</v>
      </c>
      <c r="T108" s="25" t="s">
        <v>22</v>
      </c>
    </row>
    <row r="109" spans="1:20" x14ac:dyDescent="0.2">
      <c r="A109" s="25" t="s">
        <v>22</v>
      </c>
      <c r="B109" s="25" t="s">
        <v>22</v>
      </c>
      <c r="C109" s="25" t="s">
        <v>22</v>
      </c>
      <c r="D109" s="25" t="s">
        <v>22</v>
      </c>
      <c r="E109" s="25" t="s">
        <v>22</v>
      </c>
      <c r="F109" s="25" t="s">
        <v>22</v>
      </c>
      <c r="G109" s="25" t="s">
        <v>22</v>
      </c>
      <c r="H109" s="25" t="s">
        <v>22</v>
      </c>
      <c r="I109" s="25" t="s">
        <v>22</v>
      </c>
      <c r="J109" s="25" t="s">
        <v>22</v>
      </c>
      <c r="K109" s="25" t="s">
        <v>22</v>
      </c>
      <c r="L109" s="25" t="s">
        <v>22</v>
      </c>
      <c r="M109" s="25" t="s">
        <v>22</v>
      </c>
      <c r="N109" s="25" t="s">
        <v>22</v>
      </c>
      <c r="O109" s="25" t="s">
        <v>22</v>
      </c>
      <c r="P109" s="25" t="s">
        <v>22</v>
      </c>
      <c r="Q109" s="25" t="s">
        <v>22</v>
      </c>
      <c r="R109" s="25" t="s">
        <v>22</v>
      </c>
      <c r="S109" s="25" t="s">
        <v>22</v>
      </c>
      <c r="T109" s="25" t="s">
        <v>22</v>
      </c>
    </row>
    <row r="110" spans="1:20" x14ac:dyDescent="0.2">
      <c r="A110" s="25" t="s">
        <v>22</v>
      </c>
      <c r="B110" s="25" t="s">
        <v>22</v>
      </c>
      <c r="C110" s="25" t="s">
        <v>22</v>
      </c>
      <c r="D110" s="25" t="s">
        <v>22</v>
      </c>
      <c r="E110" s="25" t="s">
        <v>22</v>
      </c>
      <c r="F110" s="25" t="s">
        <v>22</v>
      </c>
      <c r="G110" s="25" t="s">
        <v>22</v>
      </c>
      <c r="H110" s="25" t="s">
        <v>22</v>
      </c>
      <c r="I110" s="25" t="s">
        <v>22</v>
      </c>
      <c r="J110" s="25" t="s">
        <v>22</v>
      </c>
      <c r="K110" s="25" t="s">
        <v>22</v>
      </c>
      <c r="L110" s="25" t="s">
        <v>22</v>
      </c>
      <c r="M110" s="25" t="s">
        <v>22</v>
      </c>
      <c r="N110" s="25" t="s">
        <v>22</v>
      </c>
      <c r="O110" s="25" t="s">
        <v>22</v>
      </c>
      <c r="P110" s="25" t="s">
        <v>22</v>
      </c>
      <c r="Q110" s="25" t="s">
        <v>22</v>
      </c>
      <c r="R110" s="25" t="s">
        <v>22</v>
      </c>
      <c r="S110" s="25" t="s">
        <v>22</v>
      </c>
      <c r="T110" s="25" t="s">
        <v>22</v>
      </c>
    </row>
  </sheetData>
  <mergeCells count="4">
    <mergeCell ref="D5:H5"/>
    <mergeCell ref="D4:H4"/>
    <mergeCell ref="D3:H3"/>
    <mergeCell ref="D2:H2"/>
  </mergeCells>
  <pageMargins left="0.7" right="0.7" top="0.75" bottom="0.75" header="0.3" footer="0.3"/>
  <pageSetup orientation="portrait" r:id="rId1"/>
  <tableParts count="11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369F8A-F4CD-7E46-912B-1EE1D5D7147D}">
  <dimension ref="A1:X102"/>
  <sheetViews>
    <sheetView zoomScale="120" zoomScaleNormal="120" workbookViewId="0">
      <selection activeCell="S23" sqref="S23"/>
    </sheetView>
  </sheetViews>
  <sheetFormatPr baseColWidth="10" defaultColWidth="11.5" defaultRowHeight="15" x14ac:dyDescent="0.2"/>
  <cols>
    <col min="1" max="4" width="19.33203125" bestFit="1" customWidth="1"/>
    <col min="5" max="6" width="19.33203125" customWidth="1"/>
    <col min="7" max="10" width="19.33203125" bestFit="1" customWidth="1"/>
    <col min="11" max="13" width="25" customWidth="1"/>
    <col min="15" max="15" width="20.33203125" customWidth="1"/>
    <col min="16" max="16" width="12.83203125" customWidth="1"/>
    <col min="17" max="17" width="14.33203125" customWidth="1"/>
    <col min="18" max="18" width="16.5" customWidth="1"/>
    <col min="19" max="19" width="12.5" customWidth="1"/>
    <col min="20" max="24" width="20" customWidth="1"/>
  </cols>
  <sheetData>
    <row r="1" spans="1:24" ht="19" x14ac:dyDescent="0.25">
      <c r="A1" s="102" t="s">
        <v>23</v>
      </c>
      <c r="B1" s="102"/>
      <c r="C1" s="102"/>
      <c r="D1" s="102"/>
      <c r="E1" s="102"/>
      <c r="F1" s="102"/>
      <c r="G1" s="52"/>
      <c r="H1" s="52"/>
      <c r="I1" s="52"/>
      <c r="J1" s="52"/>
      <c r="K1" s="104" t="s">
        <v>24</v>
      </c>
      <c r="L1" s="105"/>
      <c r="M1" s="29" t="s">
        <v>25</v>
      </c>
      <c r="O1" s="103" t="s">
        <v>26</v>
      </c>
      <c r="P1" s="103"/>
      <c r="Q1" s="103"/>
      <c r="R1" s="103"/>
      <c r="T1" s="109" t="s">
        <v>27</v>
      </c>
      <c r="U1" s="109"/>
      <c r="V1" s="109"/>
      <c r="W1" s="109"/>
      <c r="X1" s="110"/>
    </row>
    <row r="2" spans="1:24" x14ac:dyDescent="0.2">
      <c r="A2" s="1" t="s">
        <v>28</v>
      </c>
      <c r="B2" s="1" t="s">
        <v>29</v>
      </c>
      <c r="C2" s="1" t="s">
        <v>30</v>
      </c>
      <c r="D2" s="1" t="s">
        <v>31</v>
      </c>
      <c r="E2" s="1" t="s">
        <v>32</v>
      </c>
      <c r="F2" s="1" t="s">
        <v>33</v>
      </c>
      <c r="G2" s="1" t="s">
        <v>123</v>
      </c>
      <c r="H2" s="1" t="s">
        <v>124</v>
      </c>
      <c r="I2" s="1" t="s">
        <v>125</v>
      </c>
      <c r="J2" s="1" t="s">
        <v>126</v>
      </c>
      <c r="K2" s="20" t="s">
        <v>34</v>
      </c>
      <c r="L2" s="21" t="s">
        <v>35</v>
      </c>
      <c r="M2" s="30" t="s">
        <v>36</v>
      </c>
      <c r="O2" s="32" t="s">
        <v>37</v>
      </c>
      <c r="P2" s="32" t="s">
        <v>38</v>
      </c>
      <c r="Q2" s="32" t="s">
        <v>39</v>
      </c>
      <c r="R2" s="36" t="s">
        <v>40</v>
      </c>
      <c r="T2" s="108" t="s">
        <v>41</v>
      </c>
      <c r="U2" s="111" t="s">
        <v>42</v>
      </c>
      <c r="V2" s="111" t="s">
        <v>43</v>
      </c>
      <c r="W2" s="111" t="s">
        <v>44</v>
      </c>
      <c r="X2" s="112" t="s">
        <v>45</v>
      </c>
    </row>
    <row r="3" spans="1:24" x14ac:dyDescent="0.2">
      <c r="A3" s="17" t="e">
        <f>IF(OR(ISBLANK('Change in Means- Data Input'!A10), ISBLANK('Change in Means- Data Input'!B10)),"", 'Change in Means- Data Input'!B10-'Change in Means- Data Input'!A10)</f>
        <v>#VALUE!</v>
      </c>
      <c r="B3" s="1" t="e">
        <f>IF(OR(ISBLANK('Change in Means- Data Input'!C10),ISBLANK('Change in Means- Data Input'!D10)),"",'Change in Means- Data Input'!D10-'Change in Means- Data Input'!C10)</f>
        <v>#VALUE!</v>
      </c>
      <c r="C3" s="1" t="e">
        <f>IF(OR(ISBLANK('Change in Means- Data Input'!E10),ISBLANK('Change in Means- Data Input'!F10)),"",'Change in Means- Data Input'!F10-'Change in Means- Data Input'!E10)</f>
        <v>#VALUE!</v>
      </c>
      <c r="D3" s="1" t="e">
        <f>IF(OR(ISBLANK('Change in Means- Data Input'!G10),ISBLANK('Change in Means- Data Input'!H10)),"",'Change in Means- Data Input'!H10-'Change in Means- Data Input'!G10)</f>
        <v>#VALUE!</v>
      </c>
      <c r="E3" s="1" t="e">
        <f>IF(OR(ISBLANK('Change in Means- Data Input'!I10),ISBLANK('Change in Means- Data Input'!J10)),"",'Change in Means- Data Input'!J10-'Change in Means- Data Input'!I10)</f>
        <v>#VALUE!</v>
      </c>
      <c r="F3" s="1" t="e">
        <f>IF(OR(ISBLANK('Change in Means- Data Input'!K10),ISBLANK('Change in Means- Data Input'!L10)),"",'Change in Means- Data Input'!L10-'Change in Means- Data Input'!K10)</f>
        <v>#VALUE!</v>
      </c>
      <c r="G3" s="17" t="e">
        <f>IF(OR(ISBLANK('Change in Means- Data Input'!M10),ISBLANK('Change in Means- Data Input'!N10)),"",'Change in Means- Data Input'!N10-'Change in Means- Data Input'!M10)</f>
        <v>#VALUE!</v>
      </c>
      <c r="H3" s="17" t="e">
        <f>IF(OR(ISBLANK('Change in Means- Data Input'!O10),ISBLANK('Change in Means- Data Input'!P10)),"",'Change in Means- Data Input'!P10-'Change in Means- Data Input'!O10)</f>
        <v>#VALUE!</v>
      </c>
      <c r="I3" s="17" t="e">
        <f>IF(OR(ISBLANK('Change in Means- Data Input'!Q10),ISBLANK('Change in Means- Data Input'!R10)),"",'Change in Means- Data Input'!R10-'Change in Means- Data Input'!Q10)</f>
        <v>#VALUE!</v>
      </c>
      <c r="J3" s="17" t="e">
        <f>IF(OR(ISBLANK('Change in Means- Data Input'!S10),ISBLANK('Change in Means- Data Input'!T10)),"",'Change in Means- Data Input'!T10-'Change in Means- Data Input'!S10)</f>
        <v>#VALUE!</v>
      </c>
      <c r="K3" s="1" t="str">
        <f>IF('Change in Means- Data Input'!A10="NA","NULL",COUNTIF('Change in Means- Data Input'!A10,"&gt;=3")+COUNTIF('Change in Means- Data Input'!C10,"&gt;=3")+COUNTIF('Change in Means- Data Input'!E10,"&gt;=3")+COUNTIF('Change in Means- Data Input'!G10,"&gt;=3")+COUNTIF('Change in Means- Data Input'!I10,"&gt;=3")+COUNTIF('Change in Means- Data Input'!K10,"&gt;=3")+COUNTIF('Change in Means- Data Input'!M10,"&gt;=3")+COUNTIF('Change in Means- Data Input'!O10,"&gt;=3")+COUNTIF('Change in Means- Data Input'!Q10,"&gt;=3")+COUNTIF('Change in Means- Data Input'!S10,"&gt;=3"))</f>
        <v>NULL</v>
      </c>
      <c r="L3" s="1" t="str">
        <f>IF('Change in Means- Data Input'!B10="NA","NULL",COUNTIF('Change in Means- Data Input'!B10,"&gt;=3")+COUNTIF('Change in Means- Data Input'!D10,"&gt;=3")+COUNTIF('Change in Means- Data Input'!F10,"&gt;=3")+COUNTIF('Change in Means- Data Input'!H10,"&gt;=3")+COUNTIF('Change in Means- Data Input'!J10,"&gt;=3")+COUNTIF('Change in Means- Data Input'!L10,"&gt;=3")+COUNTIF('Change in Means- Data Input'!N10,"&gt;=3")+COUNTIF('Change in Means- Data Input'!P10,"&gt;=3")+COUNTIF('Change in Means- Data Input'!R10,"&gt;=3")+COUNTIF('Change in Means- Data Input'!T10,"&gt;=3"))</f>
        <v>NULL</v>
      </c>
      <c r="M3" s="1" t="str">
        <f>IF(Table37[[#This Row],[Pre]]="NULL","NULL",IF(COUNTIF(A3:J3,"&gt;0"),"Yes","No"))</f>
        <v>NULL</v>
      </c>
      <c r="O3" s="154" t="s">
        <v>28</v>
      </c>
      <c r="P3" s="53" t="e">
        <f>AVERAGE(Table2[BEFORE - Item 1A])</f>
        <v>#DIV/0!</v>
      </c>
      <c r="Q3" s="53" t="e">
        <f>AVERAGE(Table2[AFTER - Item 1A])</f>
        <v>#DIV/0!</v>
      </c>
      <c r="R3" s="156" t="e">
        <f t="shared" ref="R3:R12" si="0">((Q3-P3)/3)</f>
        <v>#DIV/0!</v>
      </c>
      <c r="S3" s="8"/>
      <c r="T3" s="108"/>
      <c r="U3" s="111"/>
      <c r="V3" s="111"/>
      <c r="W3" s="111"/>
      <c r="X3" s="112"/>
    </row>
    <row r="4" spans="1:24" x14ac:dyDescent="0.2">
      <c r="A4" s="17" t="e">
        <f>IF(OR(ISBLANK('Change in Means- Data Input'!A11), ISBLANK('Change in Means- Data Input'!B11)),"", 'Change in Means- Data Input'!B11-'Change in Means- Data Input'!A11)</f>
        <v>#VALUE!</v>
      </c>
      <c r="B4" s="1" t="e">
        <f>IF(OR(ISBLANK('Change in Means- Data Input'!C11),ISBLANK('Change in Means- Data Input'!D11)),"",'Change in Means- Data Input'!D11-'Change in Means- Data Input'!C11)</f>
        <v>#VALUE!</v>
      </c>
      <c r="C4" s="1" t="e">
        <f>IF(OR(ISBLANK('Change in Means- Data Input'!E11),ISBLANK('Change in Means- Data Input'!F11)),"",'Change in Means- Data Input'!F11-'Change in Means- Data Input'!E11)</f>
        <v>#VALUE!</v>
      </c>
      <c r="D4" s="1" t="e">
        <f>IF(OR(ISBLANK('Change in Means- Data Input'!G11),ISBLANK('Change in Means- Data Input'!H11)),"",'Change in Means- Data Input'!H11-'Change in Means- Data Input'!G11)</f>
        <v>#VALUE!</v>
      </c>
      <c r="E4" s="1" t="e">
        <f>IF(OR(ISBLANK('Change in Means- Data Input'!I11),ISBLANK('Change in Means- Data Input'!J11)),"",'Change in Means- Data Input'!J11-'Change in Means- Data Input'!I11)</f>
        <v>#VALUE!</v>
      </c>
      <c r="F4" s="1" t="e">
        <f>IF(OR(ISBLANK('Change in Means- Data Input'!K11),ISBLANK('Change in Means- Data Input'!L11)),"",'Change in Means- Data Input'!L11-'Change in Means- Data Input'!K11)</f>
        <v>#VALUE!</v>
      </c>
      <c r="G4" s="17" t="e">
        <f>IF(OR(ISBLANK('Change in Means- Data Input'!M11),ISBLANK('Change in Means- Data Input'!N11)),"",'Change in Means- Data Input'!N11-'Change in Means- Data Input'!M11)</f>
        <v>#VALUE!</v>
      </c>
      <c r="H4" s="17" t="e">
        <f>IF(OR(ISBLANK('Change in Means- Data Input'!O11),ISBLANK('Change in Means- Data Input'!P11)),"",'Change in Means- Data Input'!P11-'Change in Means- Data Input'!O11)</f>
        <v>#VALUE!</v>
      </c>
      <c r="I4" s="17" t="e">
        <f>IF(OR(ISBLANK('Change in Means- Data Input'!Q11),ISBLANK('Change in Means- Data Input'!R11)),"",'Change in Means- Data Input'!R11-'Change in Means- Data Input'!Q11)</f>
        <v>#VALUE!</v>
      </c>
      <c r="J4" s="17" t="e">
        <f>IF(OR(ISBLANK('Change in Means- Data Input'!S11),ISBLANK('Change in Means- Data Input'!T11)),"",'Change in Means- Data Input'!T11-'Change in Means- Data Input'!S11)</f>
        <v>#VALUE!</v>
      </c>
      <c r="K4" s="1" t="str">
        <f>IF('Change in Means- Data Input'!A11="NA","NULL",COUNTIF('Change in Means- Data Input'!A11,"&gt;=3")+COUNTIF('Change in Means- Data Input'!C11,"&gt;=3")+COUNTIF('Change in Means- Data Input'!E11,"&gt;=3")+COUNTIF('Change in Means- Data Input'!G11,"&gt;=3")+COUNTIF('Change in Means- Data Input'!I11,"&gt;=3")+COUNTIF('Change in Means- Data Input'!K11,"&gt;=3")+COUNTIF('Change in Means- Data Input'!M11,"&gt;=3")+COUNTIF('Change in Means- Data Input'!O11,"&gt;=3")+COUNTIF('Change in Means- Data Input'!Q11,"&gt;=3")+COUNTIF('Change in Means- Data Input'!S11,"&gt;=3"))</f>
        <v>NULL</v>
      </c>
      <c r="L4" s="1" t="str">
        <f>IF('Change in Means- Data Input'!B11="NA","NULL",COUNTIF('Change in Means- Data Input'!B11,"&gt;=3")+COUNTIF('Change in Means- Data Input'!D11,"&gt;=3")+COUNTIF('Change in Means- Data Input'!F11,"&gt;=3")+COUNTIF('Change in Means- Data Input'!H11,"&gt;=3")+COUNTIF('Change in Means- Data Input'!J11,"&gt;=3")+COUNTIF('Change in Means- Data Input'!L11,"&gt;=3")+COUNTIF('Change in Means- Data Input'!N11,"&gt;=3")+COUNTIF('Change in Means- Data Input'!P11,"&gt;=3")+COUNTIF('Change in Means- Data Input'!R11,"&gt;=3")+COUNTIF('Change in Means- Data Input'!T11,"&gt;=3"))</f>
        <v>NULL</v>
      </c>
      <c r="M4" s="1" t="str">
        <f>IF(Table37[[#This Row],[Pre]]="NULL","NULL",IF(COUNTIF(A4:J4,"&gt;0"),"Yes","No"))</f>
        <v>NULL</v>
      </c>
      <c r="O4" s="85" t="s">
        <v>29</v>
      </c>
      <c r="P4" s="53" t="e">
        <f>AVERAGE(Table24[BEFORE - Item 1B])</f>
        <v>#DIV/0!</v>
      </c>
      <c r="Q4" s="53" t="e">
        <f>AVERAGE(Table24[AFTER - Item 1B])</f>
        <v>#DIV/0!</v>
      </c>
      <c r="R4" s="157" t="e">
        <f t="shared" si="0"/>
        <v>#DIV/0!</v>
      </c>
      <c r="S4" s="8"/>
      <c r="T4" s="34" t="s">
        <v>28</v>
      </c>
      <c r="U4" s="56" t="e">
        <f>'Change in Means- Per Item'!F5</f>
        <v>#DIV/0!</v>
      </c>
      <c r="V4" s="56" t="e">
        <f>'Change in Means- Per Item'!F17</f>
        <v>#DIV/0!</v>
      </c>
      <c r="W4" s="56" t="e">
        <f>V4-U4</f>
        <v>#DIV/0!</v>
      </c>
      <c r="X4" s="87" t="e">
        <f>'Change in Means- Per Item'!F44</f>
        <v>#DIV/0!</v>
      </c>
    </row>
    <row r="5" spans="1:24" x14ac:dyDescent="0.2">
      <c r="A5" s="17" t="e">
        <f>IF(OR(ISBLANK('Change in Means- Data Input'!A12), ISBLANK('Change in Means- Data Input'!B12)),"", 'Change in Means- Data Input'!B12-'Change in Means- Data Input'!A12)</f>
        <v>#VALUE!</v>
      </c>
      <c r="B5" s="1" t="e">
        <f>IF(OR(ISBLANK('Change in Means- Data Input'!C12),ISBLANK('Change in Means- Data Input'!D12)),"",'Change in Means- Data Input'!D12-'Change in Means- Data Input'!C12)</f>
        <v>#VALUE!</v>
      </c>
      <c r="C5" s="1" t="e">
        <f>IF(OR(ISBLANK('Change in Means- Data Input'!E12),ISBLANK('Change in Means- Data Input'!F12)),"",'Change in Means- Data Input'!F12-'Change in Means- Data Input'!E12)</f>
        <v>#VALUE!</v>
      </c>
      <c r="D5" s="1" t="e">
        <f>IF(OR(ISBLANK('Change in Means- Data Input'!G12),ISBLANK('Change in Means- Data Input'!H12)),"",'Change in Means- Data Input'!H12-'Change in Means- Data Input'!G12)</f>
        <v>#VALUE!</v>
      </c>
      <c r="E5" s="1" t="e">
        <f>IF(OR(ISBLANK('Change in Means- Data Input'!I12),ISBLANK('Change in Means- Data Input'!J12)),"",'Change in Means- Data Input'!J12-'Change in Means- Data Input'!I12)</f>
        <v>#VALUE!</v>
      </c>
      <c r="F5" s="1" t="e">
        <f>IF(OR(ISBLANK('Change in Means- Data Input'!K12),ISBLANK('Change in Means- Data Input'!L12)),"",'Change in Means- Data Input'!L12-'Change in Means- Data Input'!K12)</f>
        <v>#VALUE!</v>
      </c>
      <c r="G5" s="17" t="e">
        <f>IF(OR(ISBLANK('Change in Means- Data Input'!M12),ISBLANK('Change in Means- Data Input'!N12)),"",'Change in Means- Data Input'!N12-'Change in Means- Data Input'!M12)</f>
        <v>#VALUE!</v>
      </c>
      <c r="H5" s="17" t="e">
        <f>IF(OR(ISBLANK('Change in Means- Data Input'!O12),ISBLANK('Change in Means- Data Input'!P12)),"",'Change in Means- Data Input'!P12-'Change in Means- Data Input'!O12)</f>
        <v>#VALUE!</v>
      </c>
      <c r="I5" s="17" t="e">
        <f>IF(OR(ISBLANK('Change in Means- Data Input'!Q12),ISBLANK('Change in Means- Data Input'!R12)),"",'Change in Means- Data Input'!R12-'Change in Means- Data Input'!Q12)</f>
        <v>#VALUE!</v>
      </c>
      <c r="J5" s="17" t="e">
        <f>IF(OR(ISBLANK('Change in Means- Data Input'!S12),ISBLANK('Change in Means- Data Input'!T12)),"",'Change in Means- Data Input'!T12-'Change in Means- Data Input'!S12)</f>
        <v>#VALUE!</v>
      </c>
      <c r="K5" s="1" t="str">
        <f>IF('Change in Means- Data Input'!A12="NA","NULL",COUNTIF('Change in Means- Data Input'!A12,"&gt;=3")+COUNTIF('Change in Means- Data Input'!C12,"&gt;=3")+COUNTIF('Change in Means- Data Input'!E12,"&gt;=3")+COUNTIF('Change in Means- Data Input'!G12,"&gt;=3")+COUNTIF('Change in Means- Data Input'!I12,"&gt;=3")+COUNTIF('Change in Means- Data Input'!K12,"&gt;=3")+COUNTIF('Change in Means- Data Input'!M12,"&gt;=3")+COUNTIF('Change in Means- Data Input'!O12,"&gt;=3")+COUNTIF('Change in Means- Data Input'!Q12,"&gt;=3")+COUNTIF('Change in Means- Data Input'!S12,"&gt;=3"))</f>
        <v>NULL</v>
      </c>
      <c r="L5" s="1" t="str">
        <f>IF('Change in Means- Data Input'!B12="NA","NULL",COUNTIF('Change in Means- Data Input'!B12,"&gt;=3")+COUNTIF('Change in Means- Data Input'!D12,"&gt;=3")+COUNTIF('Change in Means- Data Input'!F12,"&gt;=3")+COUNTIF('Change in Means- Data Input'!H12,"&gt;=3")+COUNTIF('Change in Means- Data Input'!J12,"&gt;=3")+COUNTIF('Change in Means- Data Input'!L12,"&gt;=3")+COUNTIF('Change in Means- Data Input'!N12,"&gt;=3")+COUNTIF('Change in Means- Data Input'!P12,"&gt;=3")+COUNTIF('Change in Means- Data Input'!R12,"&gt;=3")+COUNTIF('Change in Means- Data Input'!T12,"&gt;=3"))</f>
        <v>NULL</v>
      </c>
      <c r="M5" s="1" t="str">
        <f>IF(Table37[[#This Row],[Pre]]="NULL","NULL",IF(COUNTIF(A5:J5,"&gt;0"),"Yes","No"))</f>
        <v>NULL</v>
      </c>
      <c r="O5" s="85" t="s">
        <v>30</v>
      </c>
      <c r="P5" s="53" t="e">
        <f>AVERAGE(Table25[BEFORE - Item 1C])</f>
        <v>#DIV/0!</v>
      </c>
      <c r="Q5" s="53" t="e">
        <f>AVERAGE(Table25[AFTER -Item 1C])</f>
        <v>#DIV/0!</v>
      </c>
      <c r="R5" s="157" t="e">
        <f t="shared" si="0"/>
        <v>#DIV/0!</v>
      </c>
      <c r="S5" s="8"/>
      <c r="T5" s="34" t="s">
        <v>29</v>
      </c>
      <c r="U5" s="56" t="e">
        <f>'Change in Means- Per Item'!M5</f>
        <v>#DIV/0!</v>
      </c>
      <c r="V5" s="56" t="e">
        <f>'Change in Means- Per Item'!M17</f>
        <v>#DIV/0!</v>
      </c>
      <c r="W5" s="56" t="e">
        <f t="shared" ref="W5:W9" si="1">V5-U5</f>
        <v>#DIV/0!</v>
      </c>
      <c r="X5" s="87" t="e">
        <f>'Change in Means- Per Item'!M28</f>
        <v>#DIV/0!</v>
      </c>
    </row>
    <row r="6" spans="1:24" x14ac:dyDescent="0.2">
      <c r="A6" s="17" t="e">
        <f>IF(OR(ISBLANK('Change in Means- Data Input'!A13), ISBLANK('Change in Means- Data Input'!B13)),"", 'Change in Means- Data Input'!B13-'Change in Means- Data Input'!A13)</f>
        <v>#VALUE!</v>
      </c>
      <c r="B6" s="1" t="e">
        <f>IF(OR(ISBLANK('Change in Means- Data Input'!C13),ISBLANK('Change in Means- Data Input'!D13)),"",'Change in Means- Data Input'!D13-'Change in Means- Data Input'!C13)</f>
        <v>#VALUE!</v>
      </c>
      <c r="C6" s="1" t="e">
        <f>IF(OR(ISBLANK('Change in Means- Data Input'!E13),ISBLANK('Change in Means- Data Input'!F13)),"",'Change in Means- Data Input'!F13-'Change in Means- Data Input'!E13)</f>
        <v>#VALUE!</v>
      </c>
      <c r="D6" s="1" t="e">
        <f>IF(OR(ISBLANK('Change in Means- Data Input'!G13),ISBLANK('Change in Means- Data Input'!H13)),"",'Change in Means- Data Input'!H13-'Change in Means- Data Input'!G13)</f>
        <v>#VALUE!</v>
      </c>
      <c r="E6" s="1" t="e">
        <f>IF(OR(ISBLANK('Change in Means- Data Input'!I13),ISBLANK('Change in Means- Data Input'!J13)),"",'Change in Means- Data Input'!J13-'Change in Means- Data Input'!I13)</f>
        <v>#VALUE!</v>
      </c>
      <c r="F6" s="1" t="e">
        <f>IF(OR(ISBLANK('Change in Means- Data Input'!K13),ISBLANK('Change in Means- Data Input'!L13)),"",'Change in Means- Data Input'!L13-'Change in Means- Data Input'!K13)</f>
        <v>#VALUE!</v>
      </c>
      <c r="G6" s="17" t="e">
        <f>IF(OR(ISBLANK('Change in Means- Data Input'!M13),ISBLANK('Change in Means- Data Input'!N13)),"",'Change in Means- Data Input'!N13-'Change in Means- Data Input'!M13)</f>
        <v>#VALUE!</v>
      </c>
      <c r="H6" s="17" t="e">
        <f>IF(OR(ISBLANK('Change in Means- Data Input'!O13),ISBLANK('Change in Means- Data Input'!P13)),"",'Change in Means- Data Input'!P13-'Change in Means- Data Input'!O13)</f>
        <v>#VALUE!</v>
      </c>
      <c r="I6" s="17" t="e">
        <f>IF(OR(ISBLANK('Change in Means- Data Input'!Q13),ISBLANK('Change in Means- Data Input'!R13)),"",'Change in Means- Data Input'!R13-'Change in Means- Data Input'!Q13)</f>
        <v>#VALUE!</v>
      </c>
      <c r="J6" s="17" t="e">
        <f>IF(OR(ISBLANK('Change in Means- Data Input'!S13),ISBLANK('Change in Means- Data Input'!T13)),"",'Change in Means- Data Input'!T13-'Change in Means- Data Input'!S13)</f>
        <v>#VALUE!</v>
      </c>
      <c r="K6" s="1" t="str">
        <f>IF('Change in Means- Data Input'!A13="NA","NULL",COUNTIF('Change in Means- Data Input'!A13,"&gt;=3")+COUNTIF('Change in Means- Data Input'!C13,"&gt;=3")+COUNTIF('Change in Means- Data Input'!E13,"&gt;=3")+COUNTIF('Change in Means- Data Input'!G13,"&gt;=3")+COUNTIF('Change in Means- Data Input'!I13,"&gt;=3")+COUNTIF('Change in Means- Data Input'!K13,"&gt;=3")+COUNTIF('Change in Means- Data Input'!M13,"&gt;=3")+COUNTIF('Change in Means- Data Input'!O13,"&gt;=3")+COUNTIF('Change in Means- Data Input'!Q13,"&gt;=3")+COUNTIF('Change in Means- Data Input'!S13,"&gt;=3"))</f>
        <v>NULL</v>
      </c>
      <c r="L6" s="1" t="str">
        <f>IF('Change in Means- Data Input'!B13="NA","NULL",COUNTIF('Change in Means- Data Input'!B13,"&gt;=3")+COUNTIF('Change in Means- Data Input'!D13,"&gt;=3")+COUNTIF('Change in Means- Data Input'!F13,"&gt;=3")+COUNTIF('Change in Means- Data Input'!H13,"&gt;=3")+COUNTIF('Change in Means- Data Input'!J13,"&gt;=3")+COUNTIF('Change in Means- Data Input'!L13,"&gt;=3")+COUNTIF('Change in Means- Data Input'!N13,"&gt;=3")+COUNTIF('Change in Means- Data Input'!P13,"&gt;=3")+COUNTIF('Change in Means- Data Input'!R13,"&gt;=3")+COUNTIF('Change in Means- Data Input'!T13,"&gt;=3"))</f>
        <v>NULL</v>
      </c>
      <c r="M6" s="1" t="str">
        <f>IF(Table37[[#This Row],[Pre]]="NULL","NULL",IF(COUNTIF(A6:J6,"&gt;0"),"Yes","No"))</f>
        <v>NULL</v>
      </c>
      <c r="O6" s="85" t="s">
        <v>31</v>
      </c>
      <c r="P6" s="53" t="e">
        <f>AVERAGE(Table26[BEFORE - Item 1D])</f>
        <v>#DIV/0!</v>
      </c>
      <c r="Q6" s="55" t="e">
        <f>AVERAGE(Table26[AFTER - Item 1D])</f>
        <v>#DIV/0!</v>
      </c>
      <c r="R6" s="157" t="e">
        <f t="shared" si="0"/>
        <v>#DIV/0!</v>
      </c>
      <c r="S6" s="9"/>
      <c r="T6" s="34" t="s">
        <v>30</v>
      </c>
      <c r="U6" s="56" t="e">
        <f>'Change in Means- Per Item'!T5</f>
        <v>#DIV/0!</v>
      </c>
      <c r="V6" s="56" t="e">
        <f>'Change in Means- Per Item'!T17</f>
        <v>#DIV/0!</v>
      </c>
      <c r="W6" s="56" t="e">
        <f t="shared" si="1"/>
        <v>#DIV/0!</v>
      </c>
      <c r="X6" s="87" t="e">
        <f>'Change in Means- Per Item'!T28</f>
        <v>#DIV/0!</v>
      </c>
    </row>
    <row r="7" spans="1:24" x14ac:dyDescent="0.2">
      <c r="A7" s="17" t="e">
        <f>IF(OR(ISBLANK('Change in Means- Data Input'!A14), ISBLANK('Change in Means- Data Input'!B14)),"", 'Change in Means- Data Input'!B14-'Change in Means- Data Input'!A14)</f>
        <v>#VALUE!</v>
      </c>
      <c r="B7" s="1" t="e">
        <f>IF(OR(ISBLANK('Change in Means- Data Input'!C14),ISBLANK('Change in Means- Data Input'!D14)),"",'Change in Means- Data Input'!D14-'Change in Means- Data Input'!C14)</f>
        <v>#VALUE!</v>
      </c>
      <c r="C7" s="1" t="e">
        <f>IF(OR(ISBLANK('Change in Means- Data Input'!E14),ISBLANK('Change in Means- Data Input'!F14)),"",'Change in Means- Data Input'!F14-'Change in Means- Data Input'!E14)</f>
        <v>#VALUE!</v>
      </c>
      <c r="D7" s="1" t="e">
        <f>IF(OR(ISBLANK('Change in Means- Data Input'!G14),ISBLANK('Change in Means- Data Input'!H14)),"",'Change in Means- Data Input'!H14-'Change in Means- Data Input'!G14)</f>
        <v>#VALUE!</v>
      </c>
      <c r="E7" s="1" t="e">
        <f>IF(OR(ISBLANK('Change in Means- Data Input'!I14),ISBLANK('Change in Means- Data Input'!J14)),"",'Change in Means- Data Input'!J14-'Change in Means- Data Input'!I14)</f>
        <v>#VALUE!</v>
      </c>
      <c r="F7" s="1" t="e">
        <f>IF(OR(ISBLANK('Change in Means- Data Input'!K14),ISBLANK('Change in Means- Data Input'!L14)),"",'Change in Means- Data Input'!L14-'Change in Means- Data Input'!K14)</f>
        <v>#VALUE!</v>
      </c>
      <c r="G7" s="17" t="e">
        <f>IF(OR(ISBLANK('Change in Means- Data Input'!M14),ISBLANK('Change in Means- Data Input'!N14)),"",'Change in Means- Data Input'!N14-'Change in Means- Data Input'!M14)</f>
        <v>#VALUE!</v>
      </c>
      <c r="H7" s="17" t="e">
        <f>IF(OR(ISBLANK('Change in Means- Data Input'!O14),ISBLANK('Change in Means- Data Input'!P14)),"",'Change in Means- Data Input'!P14-'Change in Means- Data Input'!O14)</f>
        <v>#VALUE!</v>
      </c>
      <c r="I7" s="17" t="e">
        <f>IF(OR(ISBLANK('Change in Means- Data Input'!Q14),ISBLANK('Change in Means- Data Input'!R14)),"",'Change in Means- Data Input'!R14-'Change in Means- Data Input'!Q14)</f>
        <v>#VALUE!</v>
      </c>
      <c r="J7" s="17" t="e">
        <f>IF(OR(ISBLANK('Change in Means- Data Input'!S14),ISBLANK('Change in Means- Data Input'!T14)),"",'Change in Means- Data Input'!T14-'Change in Means- Data Input'!S14)</f>
        <v>#VALUE!</v>
      </c>
      <c r="K7" s="1" t="str">
        <f>IF('Change in Means- Data Input'!A14="NA","NULL",COUNTIF('Change in Means- Data Input'!A14,"&gt;=3")+COUNTIF('Change in Means- Data Input'!C14,"&gt;=3")+COUNTIF('Change in Means- Data Input'!E14,"&gt;=3")+COUNTIF('Change in Means- Data Input'!G14,"&gt;=3")+COUNTIF('Change in Means- Data Input'!I14,"&gt;=3")+COUNTIF('Change in Means- Data Input'!K14,"&gt;=3")+COUNTIF('Change in Means- Data Input'!M14,"&gt;=3")+COUNTIF('Change in Means- Data Input'!O14,"&gt;=3")+COUNTIF('Change in Means- Data Input'!Q14,"&gt;=3")+COUNTIF('Change in Means- Data Input'!S14,"&gt;=3"))</f>
        <v>NULL</v>
      </c>
      <c r="L7" s="1" t="str">
        <f>IF('Change in Means- Data Input'!B14="NA","NULL",COUNTIF('Change in Means- Data Input'!B14,"&gt;=3")+COUNTIF('Change in Means- Data Input'!D14,"&gt;=3")+COUNTIF('Change in Means- Data Input'!F14,"&gt;=3")+COUNTIF('Change in Means- Data Input'!H14,"&gt;=3")+COUNTIF('Change in Means- Data Input'!J14,"&gt;=3")+COUNTIF('Change in Means- Data Input'!L14,"&gt;=3")+COUNTIF('Change in Means- Data Input'!N14,"&gt;=3")+COUNTIF('Change in Means- Data Input'!P14,"&gt;=3")+COUNTIF('Change in Means- Data Input'!R14,"&gt;=3")+COUNTIF('Change in Means- Data Input'!T14,"&gt;=3"))</f>
        <v>NULL</v>
      </c>
      <c r="M7" s="1" t="str">
        <f>IF(Table37[[#This Row],[Pre]]="NULL","NULL",IF(COUNTIF(A7:J7,"&gt;0"),"Yes","No"))</f>
        <v>NULL</v>
      </c>
      <c r="O7" s="85" t="s">
        <v>32</v>
      </c>
      <c r="P7" s="53" t="e">
        <f>AVERAGE('Change in Means- Data Input'!I:I)</f>
        <v>#DIV/0!</v>
      </c>
      <c r="Q7" s="53" t="e">
        <f>AVERAGE(Table27[AFTER - Item 1E])</f>
        <v>#DIV/0!</v>
      </c>
      <c r="R7" s="157" t="e">
        <f t="shared" si="0"/>
        <v>#DIV/0!</v>
      </c>
      <c r="S7" s="8"/>
      <c r="T7" s="34" t="s">
        <v>31</v>
      </c>
      <c r="U7" s="56" t="e">
        <f>'Change in Means- Per Item'!AA5</f>
        <v>#DIV/0!</v>
      </c>
      <c r="V7" s="56" t="e">
        <f>'Change in Means- Per Item'!AA17</f>
        <v>#DIV/0!</v>
      </c>
      <c r="W7" s="56" t="e">
        <f t="shared" si="1"/>
        <v>#DIV/0!</v>
      </c>
      <c r="X7" s="87" t="e">
        <f>'Change in Means- Per Item'!AA28</f>
        <v>#DIV/0!</v>
      </c>
    </row>
    <row r="8" spans="1:24" x14ac:dyDescent="0.2">
      <c r="A8" s="17" t="e">
        <f>IF(OR(ISBLANK('Change in Means- Data Input'!A15), ISBLANK('Change in Means- Data Input'!B15)),"", 'Change in Means- Data Input'!B15-'Change in Means- Data Input'!A15)</f>
        <v>#VALUE!</v>
      </c>
      <c r="B8" s="1" t="e">
        <f>IF(OR(ISBLANK('Change in Means- Data Input'!C15),ISBLANK('Change in Means- Data Input'!D15)),"",'Change in Means- Data Input'!D15-'Change in Means- Data Input'!C15)</f>
        <v>#VALUE!</v>
      </c>
      <c r="C8" s="1" t="e">
        <f>IF(OR(ISBLANK('Change in Means- Data Input'!E15),ISBLANK('Change in Means- Data Input'!F15)),"",'Change in Means- Data Input'!F15-'Change in Means- Data Input'!E15)</f>
        <v>#VALUE!</v>
      </c>
      <c r="D8" s="1" t="e">
        <f>IF(OR(ISBLANK('Change in Means- Data Input'!G15),ISBLANK('Change in Means- Data Input'!H15)),"",'Change in Means- Data Input'!H15-'Change in Means- Data Input'!G15)</f>
        <v>#VALUE!</v>
      </c>
      <c r="E8" s="1" t="e">
        <f>IF(OR(ISBLANK('Change in Means- Data Input'!I15),ISBLANK('Change in Means- Data Input'!J15)),"",'Change in Means- Data Input'!J15-'Change in Means- Data Input'!I15)</f>
        <v>#VALUE!</v>
      </c>
      <c r="F8" s="1" t="e">
        <f>IF(OR(ISBLANK('Change in Means- Data Input'!K15),ISBLANK('Change in Means- Data Input'!L15)),"",'Change in Means- Data Input'!L15-'Change in Means- Data Input'!K15)</f>
        <v>#VALUE!</v>
      </c>
      <c r="G8" s="17" t="e">
        <f>IF(OR(ISBLANK('Change in Means- Data Input'!M15),ISBLANK('Change in Means- Data Input'!N15)),"",'Change in Means- Data Input'!N15-'Change in Means- Data Input'!M15)</f>
        <v>#VALUE!</v>
      </c>
      <c r="H8" s="17" t="e">
        <f>IF(OR(ISBLANK('Change in Means- Data Input'!O15),ISBLANK('Change in Means- Data Input'!P15)),"",'Change in Means- Data Input'!P15-'Change in Means- Data Input'!O15)</f>
        <v>#VALUE!</v>
      </c>
      <c r="I8" s="17" t="e">
        <f>IF(OR(ISBLANK('Change in Means- Data Input'!Q15),ISBLANK('Change in Means- Data Input'!R15)),"",'Change in Means- Data Input'!R15-'Change in Means- Data Input'!Q15)</f>
        <v>#VALUE!</v>
      </c>
      <c r="J8" s="17" t="e">
        <f>IF(OR(ISBLANK('Change in Means- Data Input'!S15),ISBLANK('Change in Means- Data Input'!T15)),"",'Change in Means- Data Input'!T15-'Change in Means- Data Input'!S15)</f>
        <v>#VALUE!</v>
      </c>
      <c r="K8" s="1" t="str">
        <f>IF('Change in Means- Data Input'!A15="NA","NULL",COUNTIF('Change in Means- Data Input'!A15,"&gt;=3")+COUNTIF('Change in Means- Data Input'!C15,"&gt;=3")+COUNTIF('Change in Means- Data Input'!E15,"&gt;=3")+COUNTIF('Change in Means- Data Input'!G15,"&gt;=3")+COUNTIF('Change in Means- Data Input'!I15,"&gt;=3")+COUNTIF('Change in Means- Data Input'!K15,"&gt;=3")+COUNTIF('Change in Means- Data Input'!M15,"&gt;=3")+COUNTIF('Change in Means- Data Input'!O15,"&gt;=3")+COUNTIF('Change in Means- Data Input'!Q15,"&gt;=3")+COUNTIF('Change in Means- Data Input'!S15,"&gt;=3"))</f>
        <v>NULL</v>
      </c>
      <c r="L8" s="1" t="str">
        <f>IF('Change in Means- Data Input'!B15="NA","NULL",COUNTIF('Change in Means- Data Input'!B15,"&gt;=3")+COUNTIF('Change in Means- Data Input'!D15,"&gt;=3")+COUNTIF('Change in Means- Data Input'!F15,"&gt;=3")+COUNTIF('Change in Means- Data Input'!H15,"&gt;=3")+COUNTIF('Change in Means- Data Input'!J15,"&gt;=3")+COUNTIF('Change in Means- Data Input'!L15,"&gt;=3")+COUNTIF('Change in Means- Data Input'!N15,"&gt;=3")+COUNTIF('Change in Means- Data Input'!P15,"&gt;=3")+COUNTIF('Change in Means- Data Input'!R15,"&gt;=3")+COUNTIF('Change in Means- Data Input'!T15,"&gt;=3"))</f>
        <v>NULL</v>
      </c>
      <c r="M8" s="1" t="str">
        <f>IF(Table37[[#This Row],[Pre]]="NULL","NULL",IF(COUNTIF(A8:J8,"&gt;0"),"Yes","No"))</f>
        <v>NULL</v>
      </c>
      <c r="O8" s="85" t="s">
        <v>33</v>
      </c>
      <c r="P8" s="53" t="e">
        <f>AVERAGE(Table278[BEFORE- Item 1F])</f>
        <v>#DIV/0!</v>
      </c>
      <c r="Q8" s="53" t="e">
        <f>AVERAGE(Table278[AFTER- Item 1F])</f>
        <v>#DIV/0!</v>
      </c>
      <c r="R8" s="157" t="e">
        <f t="shared" si="0"/>
        <v>#DIV/0!</v>
      </c>
      <c r="S8" s="8"/>
      <c r="T8" s="34" t="s">
        <v>32</v>
      </c>
      <c r="U8" s="56" t="e">
        <f>'Change in Means- Per Item'!AH5</f>
        <v>#DIV/0!</v>
      </c>
      <c r="V8" s="56" t="e">
        <f>'Change in Means- Per Item'!AH17</f>
        <v>#DIV/0!</v>
      </c>
      <c r="W8" s="56" t="e">
        <f t="shared" si="1"/>
        <v>#DIV/0!</v>
      </c>
      <c r="X8" s="87" t="e">
        <f>'Change in Means- Per Item'!AH28</f>
        <v>#DIV/0!</v>
      </c>
    </row>
    <row r="9" spans="1:24" x14ac:dyDescent="0.2">
      <c r="A9" s="17" t="e">
        <f>IF(OR(ISBLANK('Change in Means- Data Input'!A16), ISBLANK('Change in Means- Data Input'!B16)),"", 'Change in Means- Data Input'!B16-'Change in Means- Data Input'!A16)</f>
        <v>#VALUE!</v>
      </c>
      <c r="B9" s="1" t="e">
        <f>IF(OR(ISBLANK('Change in Means- Data Input'!C16),ISBLANK('Change in Means- Data Input'!D16)),"",'Change in Means- Data Input'!D16-'Change in Means- Data Input'!C16)</f>
        <v>#VALUE!</v>
      </c>
      <c r="C9" s="1" t="e">
        <f>IF(OR(ISBLANK('Change in Means- Data Input'!E16),ISBLANK('Change in Means- Data Input'!F16)),"",'Change in Means- Data Input'!F16-'Change in Means- Data Input'!E16)</f>
        <v>#VALUE!</v>
      </c>
      <c r="D9" s="1" t="e">
        <f>IF(OR(ISBLANK('Change in Means- Data Input'!G16),ISBLANK('Change in Means- Data Input'!H16)),"",'Change in Means- Data Input'!H16-'Change in Means- Data Input'!G16)</f>
        <v>#VALUE!</v>
      </c>
      <c r="E9" s="1" t="e">
        <f>IF(OR(ISBLANK('Change in Means- Data Input'!I16),ISBLANK('Change in Means- Data Input'!J16)),"",'Change in Means- Data Input'!J16-'Change in Means- Data Input'!I16)</f>
        <v>#VALUE!</v>
      </c>
      <c r="F9" s="1" t="e">
        <f>IF(OR(ISBLANK('Change in Means- Data Input'!K16),ISBLANK('Change in Means- Data Input'!L16)),"",'Change in Means- Data Input'!L16-'Change in Means- Data Input'!K16)</f>
        <v>#VALUE!</v>
      </c>
      <c r="G9" s="17" t="e">
        <f>IF(OR(ISBLANK('Change in Means- Data Input'!M16),ISBLANK('Change in Means- Data Input'!N16)),"",'Change in Means- Data Input'!N16-'Change in Means- Data Input'!M16)</f>
        <v>#VALUE!</v>
      </c>
      <c r="H9" s="17" t="e">
        <f>IF(OR(ISBLANK('Change in Means- Data Input'!O16),ISBLANK('Change in Means- Data Input'!P16)),"",'Change in Means- Data Input'!P16-'Change in Means- Data Input'!O16)</f>
        <v>#VALUE!</v>
      </c>
      <c r="I9" s="17" t="e">
        <f>IF(OR(ISBLANK('Change in Means- Data Input'!Q16),ISBLANK('Change in Means- Data Input'!R16)),"",'Change in Means- Data Input'!R16-'Change in Means- Data Input'!Q16)</f>
        <v>#VALUE!</v>
      </c>
      <c r="J9" s="17" t="e">
        <f>IF(OR(ISBLANK('Change in Means- Data Input'!S16),ISBLANK('Change in Means- Data Input'!T16)),"",'Change in Means- Data Input'!T16-'Change in Means- Data Input'!S16)</f>
        <v>#VALUE!</v>
      </c>
      <c r="K9" s="1" t="str">
        <f>IF('Change in Means- Data Input'!A16="NA","NULL",COUNTIF('Change in Means- Data Input'!A16,"&gt;=3")+COUNTIF('Change in Means- Data Input'!C16,"&gt;=3")+COUNTIF('Change in Means- Data Input'!E16,"&gt;=3")+COUNTIF('Change in Means- Data Input'!G16,"&gt;=3")+COUNTIF('Change in Means- Data Input'!I16,"&gt;=3")+COUNTIF('Change in Means- Data Input'!K16,"&gt;=3")+COUNTIF('Change in Means- Data Input'!M16,"&gt;=3")+COUNTIF('Change in Means- Data Input'!O16,"&gt;=3")+COUNTIF('Change in Means- Data Input'!Q16,"&gt;=3")+COUNTIF('Change in Means- Data Input'!S16,"&gt;=3"))</f>
        <v>NULL</v>
      </c>
      <c r="L9" s="1" t="str">
        <f>IF('Change in Means- Data Input'!B16="NA","NULL",COUNTIF('Change in Means- Data Input'!B16,"&gt;=3")+COUNTIF('Change in Means- Data Input'!D16,"&gt;=3")+COUNTIF('Change in Means- Data Input'!F16,"&gt;=3")+COUNTIF('Change in Means- Data Input'!H16,"&gt;=3")+COUNTIF('Change in Means- Data Input'!J16,"&gt;=3")+COUNTIF('Change in Means- Data Input'!L16,"&gt;=3")+COUNTIF('Change in Means- Data Input'!N16,"&gt;=3")+COUNTIF('Change in Means- Data Input'!P16,"&gt;=3")+COUNTIF('Change in Means- Data Input'!R16,"&gt;=3")+COUNTIF('Change in Means- Data Input'!T16,"&gt;=3"))</f>
        <v>NULL</v>
      </c>
      <c r="M9" s="1" t="str">
        <f>IF(Table37[[#This Row],[Pre]]="NULL","NULL",IF(COUNTIF(A9:J9,"&gt;0"),"Yes","No"))</f>
        <v>NULL</v>
      </c>
      <c r="O9" s="85" t="s">
        <v>123</v>
      </c>
      <c r="P9" s="53" t="e">
        <f>AVERAGE(Table259[BEFORE - Item 1G])</f>
        <v>#DIV/0!</v>
      </c>
      <c r="Q9" s="53" t="e">
        <f>AVERAGE(Table259[AFTER -Item 1G])</f>
        <v>#DIV/0!</v>
      </c>
      <c r="R9" s="157" t="e">
        <f t="shared" si="0"/>
        <v>#DIV/0!</v>
      </c>
      <c r="T9" s="85" t="s">
        <v>33</v>
      </c>
      <c r="U9" s="56" t="e">
        <f>'Change in Means- Per Item'!AO5</f>
        <v>#DIV/0!</v>
      </c>
      <c r="V9" s="56" t="e">
        <f>'Change in Means- Per Item'!AO17</f>
        <v>#DIV/0!</v>
      </c>
      <c r="W9" s="56" t="e">
        <f t="shared" si="1"/>
        <v>#DIV/0!</v>
      </c>
      <c r="X9" s="87" t="e">
        <f>'Change in Means- Per Item'!AO28</f>
        <v>#DIV/0!</v>
      </c>
    </row>
    <row r="10" spans="1:24" x14ac:dyDescent="0.2">
      <c r="A10" s="17" t="e">
        <f>IF(OR(ISBLANK('Change in Means- Data Input'!A17), ISBLANK('Change in Means- Data Input'!B17)),"", 'Change in Means- Data Input'!B17-'Change in Means- Data Input'!A17)</f>
        <v>#VALUE!</v>
      </c>
      <c r="B10" s="1" t="e">
        <f>IF(OR(ISBLANK('Change in Means- Data Input'!C17),ISBLANK('Change in Means- Data Input'!D17)),"",'Change in Means- Data Input'!D17-'Change in Means- Data Input'!C17)</f>
        <v>#VALUE!</v>
      </c>
      <c r="C10" s="1" t="e">
        <f>IF(OR(ISBLANK('Change in Means- Data Input'!E17),ISBLANK('Change in Means- Data Input'!F17)),"",'Change in Means- Data Input'!F17-'Change in Means- Data Input'!E17)</f>
        <v>#VALUE!</v>
      </c>
      <c r="D10" s="1" t="e">
        <f>IF(OR(ISBLANK('Change in Means- Data Input'!G17),ISBLANK('Change in Means- Data Input'!H17)),"",'Change in Means- Data Input'!H17-'Change in Means- Data Input'!G17)</f>
        <v>#VALUE!</v>
      </c>
      <c r="E10" s="1" t="e">
        <f>IF(OR(ISBLANK('Change in Means- Data Input'!I17),ISBLANK('Change in Means- Data Input'!J17)),"",'Change in Means- Data Input'!J17-'Change in Means- Data Input'!I17)</f>
        <v>#VALUE!</v>
      </c>
      <c r="F10" s="1" t="e">
        <f>IF(OR(ISBLANK('Change in Means- Data Input'!K17),ISBLANK('Change in Means- Data Input'!L17)),"",'Change in Means- Data Input'!L17-'Change in Means- Data Input'!K17)</f>
        <v>#VALUE!</v>
      </c>
      <c r="G10" s="17" t="e">
        <f>IF(OR(ISBLANK('Change in Means- Data Input'!M17),ISBLANK('Change in Means- Data Input'!N17)),"",'Change in Means- Data Input'!N17-'Change in Means- Data Input'!M17)</f>
        <v>#VALUE!</v>
      </c>
      <c r="H10" s="17" t="e">
        <f>IF(OR(ISBLANK('Change in Means- Data Input'!O17),ISBLANK('Change in Means- Data Input'!P17)),"",'Change in Means- Data Input'!P17-'Change in Means- Data Input'!O17)</f>
        <v>#VALUE!</v>
      </c>
      <c r="I10" s="17" t="e">
        <f>IF(OR(ISBLANK('Change in Means- Data Input'!Q17),ISBLANK('Change in Means- Data Input'!R17)),"",'Change in Means- Data Input'!R17-'Change in Means- Data Input'!Q17)</f>
        <v>#VALUE!</v>
      </c>
      <c r="J10" s="17" t="e">
        <f>IF(OR(ISBLANK('Change in Means- Data Input'!S17),ISBLANK('Change in Means- Data Input'!T17)),"",'Change in Means- Data Input'!T17-'Change in Means- Data Input'!S17)</f>
        <v>#VALUE!</v>
      </c>
      <c r="K10" s="1" t="str">
        <f>IF('Change in Means- Data Input'!A17="NA","NULL",COUNTIF('Change in Means- Data Input'!A17,"&gt;=3")+COUNTIF('Change in Means- Data Input'!C17,"&gt;=3")+COUNTIF('Change in Means- Data Input'!E17,"&gt;=3")+COUNTIF('Change in Means- Data Input'!G17,"&gt;=3")+COUNTIF('Change in Means- Data Input'!I17,"&gt;=3")+COUNTIF('Change in Means- Data Input'!K17,"&gt;=3")+COUNTIF('Change in Means- Data Input'!M17,"&gt;=3")+COUNTIF('Change in Means- Data Input'!O17,"&gt;=3")+COUNTIF('Change in Means- Data Input'!Q17,"&gt;=3")+COUNTIF('Change in Means- Data Input'!S17,"&gt;=3"))</f>
        <v>NULL</v>
      </c>
      <c r="L10" s="1" t="str">
        <f>IF('Change in Means- Data Input'!B17="NA","NULL",COUNTIF('Change in Means- Data Input'!B17,"&gt;=3")+COUNTIF('Change in Means- Data Input'!D17,"&gt;=3")+COUNTIF('Change in Means- Data Input'!F17,"&gt;=3")+COUNTIF('Change in Means- Data Input'!H17,"&gt;=3")+COUNTIF('Change in Means- Data Input'!J17,"&gt;=3")+COUNTIF('Change in Means- Data Input'!L17,"&gt;=3")+COUNTIF('Change in Means- Data Input'!N17,"&gt;=3")+COUNTIF('Change in Means- Data Input'!P17,"&gt;=3")+COUNTIF('Change in Means- Data Input'!R17,"&gt;=3")+COUNTIF('Change in Means- Data Input'!T17,"&gt;=3"))</f>
        <v>NULL</v>
      </c>
      <c r="M10" s="1" t="str">
        <f>IF(Table37[[#This Row],[Pre]]="NULL","NULL",IF(COUNTIF(A10:J10,"&gt;0"),"Yes","No"))</f>
        <v>NULL</v>
      </c>
      <c r="O10" s="85" t="s">
        <v>124</v>
      </c>
      <c r="P10" s="53" t="e">
        <f>AVERAGE(Table2610[BEFORE - Item 1H])</f>
        <v>#DIV/0!</v>
      </c>
      <c r="Q10" s="53" t="e">
        <f>AVERAGE(Table2610[AFTER - Item 1H])</f>
        <v>#DIV/0!</v>
      </c>
      <c r="R10" s="157" t="e">
        <f t="shared" si="0"/>
        <v>#DIV/0!</v>
      </c>
      <c r="T10" s="85" t="s">
        <v>123</v>
      </c>
      <c r="U10" s="56" t="e">
        <f>'Change in Means- Per Item'!AV5</f>
        <v>#DIV/0!</v>
      </c>
      <c r="V10" s="56" t="e">
        <f>'Change in Means- Per Item'!AV17</f>
        <v>#DIV/0!</v>
      </c>
      <c r="W10" s="56" t="e">
        <f>V10-U10</f>
        <v>#DIV/0!</v>
      </c>
      <c r="X10" s="87" t="e">
        <f>'Change in Means- Per Item'!AV44</f>
        <v>#DIV/0!</v>
      </c>
    </row>
    <row r="11" spans="1:24" x14ac:dyDescent="0.2">
      <c r="A11" s="17" t="e">
        <f>IF(OR(ISBLANK('Change in Means- Data Input'!A18), ISBLANK('Change in Means- Data Input'!B18)),"", 'Change in Means- Data Input'!B18-'Change in Means- Data Input'!A18)</f>
        <v>#VALUE!</v>
      </c>
      <c r="B11" s="1" t="e">
        <f>IF(OR(ISBLANK('Change in Means- Data Input'!C18),ISBLANK('Change in Means- Data Input'!D18)),"",'Change in Means- Data Input'!D18-'Change in Means- Data Input'!C18)</f>
        <v>#VALUE!</v>
      </c>
      <c r="C11" s="1" t="e">
        <f>IF(OR(ISBLANK('Change in Means- Data Input'!E18),ISBLANK('Change in Means- Data Input'!F18)),"",'Change in Means- Data Input'!F18-'Change in Means- Data Input'!E18)</f>
        <v>#VALUE!</v>
      </c>
      <c r="D11" s="1" t="e">
        <f>IF(OR(ISBLANK('Change in Means- Data Input'!G18),ISBLANK('Change in Means- Data Input'!H18)),"",'Change in Means- Data Input'!H18-'Change in Means- Data Input'!G18)</f>
        <v>#VALUE!</v>
      </c>
      <c r="E11" s="1" t="e">
        <f>IF(OR(ISBLANK('Change in Means- Data Input'!I18),ISBLANK('Change in Means- Data Input'!J18)),"",'Change in Means- Data Input'!J18-'Change in Means- Data Input'!I18)</f>
        <v>#VALUE!</v>
      </c>
      <c r="F11" s="1" t="e">
        <f>IF(OR(ISBLANK('Change in Means- Data Input'!K18),ISBLANK('Change in Means- Data Input'!L18)),"",'Change in Means- Data Input'!L18-'Change in Means- Data Input'!K18)</f>
        <v>#VALUE!</v>
      </c>
      <c r="G11" s="17" t="e">
        <f>IF(OR(ISBLANK('Change in Means- Data Input'!M18),ISBLANK('Change in Means- Data Input'!N18)),"",'Change in Means- Data Input'!N18-'Change in Means- Data Input'!M18)</f>
        <v>#VALUE!</v>
      </c>
      <c r="H11" s="17" t="e">
        <f>IF(OR(ISBLANK('Change in Means- Data Input'!O18),ISBLANK('Change in Means- Data Input'!P18)),"",'Change in Means- Data Input'!P18-'Change in Means- Data Input'!O18)</f>
        <v>#VALUE!</v>
      </c>
      <c r="I11" s="17" t="e">
        <f>IF(OR(ISBLANK('Change in Means- Data Input'!Q18),ISBLANK('Change in Means- Data Input'!R18)),"",'Change in Means- Data Input'!R18-'Change in Means- Data Input'!Q18)</f>
        <v>#VALUE!</v>
      </c>
      <c r="J11" s="17" t="e">
        <f>IF(OR(ISBLANK('Change in Means- Data Input'!S18),ISBLANK('Change in Means- Data Input'!T18)),"",'Change in Means- Data Input'!T18-'Change in Means- Data Input'!S18)</f>
        <v>#VALUE!</v>
      </c>
      <c r="K11" s="1" t="str">
        <f>IF('Change in Means- Data Input'!A18="NA","NULL",COUNTIF('Change in Means- Data Input'!A18,"&gt;=3")+COUNTIF('Change in Means- Data Input'!C18,"&gt;=3")+COUNTIF('Change in Means- Data Input'!E18,"&gt;=3")+COUNTIF('Change in Means- Data Input'!G18,"&gt;=3")+COUNTIF('Change in Means- Data Input'!I18,"&gt;=3")+COUNTIF('Change in Means- Data Input'!K18,"&gt;=3")+COUNTIF('Change in Means- Data Input'!M18,"&gt;=3")+COUNTIF('Change in Means- Data Input'!O18,"&gt;=3")+COUNTIF('Change in Means- Data Input'!Q18,"&gt;=3")+COUNTIF('Change in Means- Data Input'!S18,"&gt;=3"))</f>
        <v>NULL</v>
      </c>
      <c r="L11" s="1" t="str">
        <f>IF('Change in Means- Data Input'!B18="NA","NULL",COUNTIF('Change in Means- Data Input'!B18,"&gt;=3")+COUNTIF('Change in Means- Data Input'!D18,"&gt;=3")+COUNTIF('Change in Means- Data Input'!F18,"&gt;=3")+COUNTIF('Change in Means- Data Input'!H18,"&gt;=3")+COUNTIF('Change in Means- Data Input'!J18,"&gt;=3")+COUNTIF('Change in Means- Data Input'!L18,"&gt;=3")+COUNTIF('Change in Means- Data Input'!N18,"&gt;=3")+COUNTIF('Change in Means- Data Input'!P18,"&gt;=3")+COUNTIF('Change in Means- Data Input'!R18,"&gt;=3")+COUNTIF('Change in Means- Data Input'!T18,"&gt;=3"))</f>
        <v>NULL</v>
      </c>
      <c r="M11" s="1" t="str">
        <f>IF(Table37[[#This Row],[Pre]]="NULL","NULL",IF(COUNTIF(A11:J11,"&gt;0"),"Yes","No"))</f>
        <v>NULL</v>
      </c>
      <c r="O11" s="85" t="s">
        <v>125</v>
      </c>
      <c r="P11" s="53" t="e">
        <f>AVERAGE(Table2711[BEFORE - Item 1I])</f>
        <v>#DIV/0!</v>
      </c>
      <c r="Q11" s="53" t="e">
        <f>AVERAGE(Table2711[AFTER - Item 1I])</f>
        <v>#DIV/0!</v>
      </c>
      <c r="R11" s="157" t="e">
        <f t="shared" si="0"/>
        <v>#DIV/0!</v>
      </c>
      <c r="T11" s="85" t="s">
        <v>124</v>
      </c>
      <c r="U11" s="56" t="e">
        <f>'Change in Means- Per Item'!BC5</f>
        <v>#DIV/0!</v>
      </c>
      <c r="V11" s="56" t="e">
        <f>'Change in Means- Per Item'!BC17</f>
        <v>#DIV/0!</v>
      </c>
      <c r="W11" s="56" t="e">
        <f>V11-U11</f>
        <v>#DIV/0!</v>
      </c>
      <c r="X11" s="87" t="e">
        <f>'Change in Means- Per Item'!BC44</f>
        <v>#DIV/0!</v>
      </c>
    </row>
    <row r="12" spans="1:24" ht="15" customHeight="1" x14ac:dyDescent="0.2">
      <c r="A12" s="17" t="e">
        <f>IF(OR(ISBLANK('Change in Means- Data Input'!A19), ISBLANK('Change in Means- Data Input'!B19)),"", 'Change in Means- Data Input'!B19-'Change in Means- Data Input'!A19)</f>
        <v>#VALUE!</v>
      </c>
      <c r="B12" s="1" t="e">
        <f>IF(OR(ISBLANK('Change in Means- Data Input'!C19),ISBLANK('Change in Means- Data Input'!D19)),"",'Change in Means- Data Input'!D19-'Change in Means- Data Input'!C19)</f>
        <v>#VALUE!</v>
      </c>
      <c r="C12" s="1" t="e">
        <f>IF(OR(ISBLANK('Change in Means- Data Input'!E19),ISBLANK('Change in Means- Data Input'!F19)),"",'Change in Means- Data Input'!F19-'Change in Means- Data Input'!E19)</f>
        <v>#VALUE!</v>
      </c>
      <c r="D12" s="1" t="e">
        <f>IF(OR(ISBLANK('Change in Means- Data Input'!G19),ISBLANK('Change in Means- Data Input'!H19)),"",'Change in Means- Data Input'!H19-'Change in Means- Data Input'!G19)</f>
        <v>#VALUE!</v>
      </c>
      <c r="E12" s="1" t="e">
        <f>IF(OR(ISBLANK('Change in Means- Data Input'!I19),ISBLANK('Change in Means- Data Input'!J19)),"",'Change in Means- Data Input'!J19-'Change in Means- Data Input'!I19)</f>
        <v>#VALUE!</v>
      </c>
      <c r="F12" s="1" t="e">
        <f>IF(OR(ISBLANK('Change in Means- Data Input'!K19),ISBLANK('Change in Means- Data Input'!L19)),"",'Change in Means- Data Input'!L19-'Change in Means- Data Input'!K19)</f>
        <v>#VALUE!</v>
      </c>
      <c r="G12" s="17" t="e">
        <f>IF(OR(ISBLANK('Change in Means- Data Input'!M19),ISBLANK('Change in Means- Data Input'!N19)),"",'Change in Means- Data Input'!N19-'Change in Means- Data Input'!M19)</f>
        <v>#VALUE!</v>
      </c>
      <c r="H12" s="17" t="e">
        <f>IF(OR(ISBLANK('Change in Means- Data Input'!O19),ISBLANK('Change in Means- Data Input'!P19)),"",'Change in Means- Data Input'!P19-'Change in Means- Data Input'!O19)</f>
        <v>#VALUE!</v>
      </c>
      <c r="I12" s="17" t="e">
        <f>IF(OR(ISBLANK('Change in Means- Data Input'!Q19),ISBLANK('Change in Means- Data Input'!R19)),"",'Change in Means- Data Input'!R19-'Change in Means- Data Input'!Q19)</f>
        <v>#VALUE!</v>
      </c>
      <c r="J12" s="17" t="e">
        <f>IF(OR(ISBLANK('Change in Means- Data Input'!S19),ISBLANK('Change in Means- Data Input'!T19)),"",'Change in Means- Data Input'!T19-'Change in Means- Data Input'!S19)</f>
        <v>#VALUE!</v>
      </c>
      <c r="K12" s="1" t="str">
        <f>IF('Change in Means- Data Input'!A19="NA","NULL",COUNTIF('Change in Means- Data Input'!A19,"&gt;=3")+COUNTIF('Change in Means- Data Input'!C19,"&gt;=3")+COUNTIF('Change in Means- Data Input'!E19,"&gt;=3")+COUNTIF('Change in Means- Data Input'!G19,"&gt;=3")+COUNTIF('Change in Means- Data Input'!I19,"&gt;=3")+COUNTIF('Change in Means- Data Input'!K19,"&gt;=3")+COUNTIF('Change in Means- Data Input'!M19,"&gt;=3")+COUNTIF('Change in Means- Data Input'!O19,"&gt;=3")+COUNTIF('Change in Means- Data Input'!Q19,"&gt;=3")+COUNTIF('Change in Means- Data Input'!S19,"&gt;=3"))</f>
        <v>NULL</v>
      </c>
      <c r="L12" s="1" t="str">
        <f>IF('Change in Means- Data Input'!B19="NA","NULL",COUNTIF('Change in Means- Data Input'!B19,"&gt;=3")+COUNTIF('Change in Means- Data Input'!D19,"&gt;=3")+COUNTIF('Change in Means- Data Input'!F19,"&gt;=3")+COUNTIF('Change in Means- Data Input'!H19,"&gt;=3")+COUNTIF('Change in Means- Data Input'!J19,"&gt;=3")+COUNTIF('Change in Means- Data Input'!L19,"&gt;=3")+COUNTIF('Change in Means- Data Input'!N19,"&gt;=3")+COUNTIF('Change in Means- Data Input'!P19,"&gt;=3")+COUNTIF('Change in Means- Data Input'!R19,"&gt;=3")+COUNTIF('Change in Means- Data Input'!T19,"&gt;=3"))</f>
        <v>NULL</v>
      </c>
      <c r="M12" s="1" t="str">
        <f>IF(Table37[[#This Row],[Pre]]="NULL","NULL",IF(COUNTIF(A12:J12,"&gt;0"),"Yes","No"))</f>
        <v>NULL</v>
      </c>
      <c r="O12" s="85" t="s">
        <v>126</v>
      </c>
      <c r="P12" s="53" t="e">
        <f>AVERAGE(Table27812[BEFORE- Item 1J])</f>
        <v>#DIV/0!</v>
      </c>
      <c r="Q12" s="53" t="e">
        <f>AVERAGE(Table27812[AFTER- Item 1J])</f>
        <v>#DIV/0!</v>
      </c>
      <c r="R12" s="157" t="e">
        <f t="shared" si="0"/>
        <v>#DIV/0!</v>
      </c>
      <c r="T12" s="85" t="s">
        <v>125</v>
      </c>
      <c r="U12" s="56" t="e">
        <f>'Change in Means- Per Item'!BJ5</f>
        <v>#DIV/0!</v>
      </c>
      <c r="V12" s="56" t="e">
        <f>'Change in Means- Per Item'!BJ17</f>
        <v>#DIV/0!</v>
      </c>
      <c r="W12" s="56" t="e">
        <f>V12-U12</f>
        <v>#DIV/0!</v>
      </c>
      <c r="X12" s="87" t="e">
        <f>'Change in Means- Per Item'!BJ44</f>
        <v>#DIV/0!</v>
      </c>
    </row>
    <row r="13" spans="1:24" x14ac:dyDescent="0.2">
      <c r="A13" s="17" t="e">
        <f>IF(OR(ISBLANK('Change in Means- Data Input'!A20), ISBLANK('Change in Means- Data Input'!B20)),"", 'Change in Means- Data Input'!B20-'Change in Means- Data Input'!A20)</f>
        <v>#VALUE!</v>
      </c>
      <c r="B13" s="1" t="e">
        <f>IF(OR(ISBLANK('Change in Means- Data Input'!C20),ISBLANK('Change in Means- Data Input'!D20)),"",'Change in Means- Data Input'!D20-'Change in Means- Data Input'!C20)</f>
        <v>#VALUE!</v>
      </c>
      <c r="C13" s="1" t="e">
        <f>IF(OR(ISBLANK('Change in Means- Data Input'!E20),ISBLANK('Change in Means- Data Input'!F20)),"",'Change in Means- Data Input'!F20-'Change in Means- Data Input'!E20)</f>
        <v>#VALUE!</v>
      </c>
      <c r="D13" s="1" t="e">
        <f>IF(OR(ISBLANK('Change in Means- Data Input'!G20),ISBLANK('Change in Means- Data Input'!H20)),"",'Change in Means- Data Input'!H20-'Change in Means- Data Input'!G20)</f>
        <v>#VALUE!</v>
      </c>
      <c r="E13" s="1" t="e">
        <f>IF(OR(ISBLANK('Change in Means- Data Input'!I20),ISBLANK('Change in Means- Data Input'!J20)),"",'Change in Means- Data Input'!J20-'Change in Means- Data Input'!I20)</f>
        <v>#VALUE!</v>
      </c>
      <c r="F13" s="1" t="e">
        <f>IF(OR(ISBLANK('Change in Means- Data Input'!K20),ISBLANK('Change in Means- Data Input'!L20)),"",'Change in Means- Data Input'!L20-'Change in Means- Data Input'!K20)</f>
        <v>#VALUE!</v>
      </c>
      <c r="G13" s="17" t="e">
        <f>IF(OR(ISBLANK('Change in Means- Data Input'!M20),ISBLANK('Change in Means- Data Input'!N20)),"",'Change in Means- Data Input'!N20-'Change in Means- Data Input'!M20)</f>
        <v>#VALUE!</v>
      </c>
      <c r="H13" s="17" t="e">
        <f>IF(OR(ISBLANK('Change in Means- Data Input'!O20),ISBLANK('Change in Means- Data Input'!P20)),"",'Change in Means- Data Input'!P20-'Change in Means- Data Input'!O20)</f>
        <v>#VALUE!</v>
      </c>
      <c r="I13" s="17" t="e">
        <f>IF(OR(ISBLANK('Change in Means- Data Input'!Q20),ISBLANK('Change in Means- Data Input'!R20)),"",'Change in Means- Data Input'!R20-'Change in Means- Data Input'!Q20)</f>
        <v>#VALUE!</v>
      </c>
      <c r="J13" s="17" t="e">
        <f>IF(OR(ISBLANK('Change in Means- Data Input'!S20),ISBLANK('Change in Means- Data Input'!T20)),"",'Change in Means- Data Input'!T20-'Change in Means- Data Input'!S20)</f>
        <v>#VALUE!</v>
      </c>
      <c r="K13" s="1" t="str">
        <f>IF('Change in Means- Data Input'!A20="NA","NULL",COUNTIF('Change in Means- Data Input'!A20,"&gt;=3")+COUNTIF('Change in Means- Data Input'!C20,"&gt;=3")+COUNTIF('Change in Means- Data Input'!E20,"&gt;=3")+COUNTIF('Change in Means- Data Input'!G20,"&gt;=3")+COUNTIF('Change in Means- Data Input'!I20,"&gt;=3")+COUNTIF('Change in Means- Data Input'!K20,"&gt;=3")+COUNTIF('Change in Means- Data Input'!M20,"&gt;=3")+COUNTIF('Change in Means- Data Input'!O20,"&gt;=3")+COUNTIF('Change in Means- Data Input'!Q20,"&gt;=3")+COUNTIF('Change in Means- Data Input'!S20,"&gt;=3"))</f>
        <v>NULL</v>
      </c>
      <c r="L13" s="1" t="str">
        <f>IF('Change in Means- Data Input'!B20="NA","NULL",COUNTIF('Change in Means- Data Input'!B20,"&gt;=3")+COUNTIF('Change in Means- Data Input'!D20,"&gt;=3")+COUNTIF('Change in Means- Data Input'!F20,"&gt;=3")+COUNTIF('Change in Means- Data Input'!H20,"&gt;=3")+COUNTIF('Change in Means- Data Input'!J20,"&gt;=3")+COUNTIF('Change in Means- Data Input'!L20,"&gt;=3")+COUNTIF('Change in Means- Data Input'!N20,"&gt;=3")+COUNTIF('Change in Means- Data Input'!P20,"&gt;=3")+COUNTIF('Change in Means- Data Input'!R20,"&gt;=3")+COUNTIF('Change in Means- Data Input'!T20,"&gt;=3"))</f>
        <v>NULL</v>
      </c>
      <c r="M13" s="1" t="str">
        <f>IF(Table37[[#This Row],[Pre]]="NULL","NULL",IF(COUNTIF(A13:J13,"&gt;0"),"Yes","No"))</f>
        <v>NULL</v>
      </c>
      <c r="O13" s="155" t="s">
        <v>46</v>
      </c>
      <c r="P13" s="53"/>
      <c r="Q13" s="53"/>
      <c r="R13" s="158"/>
      <c r="T13" s="86" t="s">
        <v>126</v>
      </c>
      <c r="U13" s="57" t="e">
        <f>'Change in Means- Per Item'!BQ5</f>
        <v>#DIV/0!</v>
      </c>
      <c r="V13" s="57" t="e">
        <f>'Change in Means- Per Item'!BQ17</f>
        <v>#DIV/0!</v>
      </c>
      <c r="W13" s="57" t="e">
        <f>V13-U13</f>
        <v>#DIV/0!</v>
      </c>
      <c r="X13" s="88" t="e">
        <f>'Change in Means- Per Item'!BQ44</f>
        <v>#DIV/0!</v>
      </c>
    </row>
    <row r="14" spans="1:24" ht="15" customHeight="1" x14ac:dyDescent="0.2">
      <c r="A14" s="17" t="e">
        <f>IF(OR(ISBLANK('Change in Means- Data Input'!A21), ISBLANK('Change in Means- Data Input'!B21)),"", 'Change in Means- Data Input'!B21-'Change in Means- Data Input'!A21)</f>
        <v>#VALUE!</v>
      </c>
      <c r="B14" s="1" t="e">
        <f>IF(OR(ISBLANK('Change in Means- Data Input'!C21),ISBLANK('Change in Means- Data Input'!D21)),"",'Change in Means- Data Input'!D21-'Change in Means- Data Input'!C21)</f>
        <v>#VALUE!</v>
      </c>
      <c r="C14" s="1" t="e">
        <f>IF(OR(ISBLANK('Change in Means- Data Input'!E21),ISBLANK('Change in Means- Data Input'!F21)),"",'Change in Means- Data Input'!F21-'Change in Means- Data Input'!E21)</f>
        <v>#VALUE!</v>
      </c>
      <c r="D14" s="1" t="e">
        <f>IF(OR(ISBLANK('Change in Means- Data Input'!G21),ISBLANK('Change in Means- Data Input'!H21)),"",'Change in Means- Data Input'!H21-'Change in Means- Data Input'!G21)</f>
        <v>#VALUE!</v>
      </c>
      <c r="E14" s="1" t="e">
        <f>IF(OR(ISBLANK('Change in Means- Data Input'!I21),ISBLANK('Change in Means- Data Input'!J21)),"",'Change in Means- Data Input'!J21-'Change in Means- Data Input'!I21)</f>
        <v>#VALUE!</v>
      </c>
      <c r="F14" s="1" t="e">
        <f>IF(OR(ISBLANK('Change in Means- Data Input'!K21),ISBLANK('Change in Means- Data Input'!L21)),"",'Change in Means- Data Input'!L21-'Change in Means- Data Input'!K21)</f>
        <v>#VALUE!</v>
      </c>
      <c r="G14" s="17" t="e">
        <f>IF(OR(ISBLANK('Change in Means- Data Input'!M21),ISBLANK('Change in Means- Data Input'!N21)),"",'Change in Means- Data Input'!N21-'Change in Means- Data Input'!M21)</f>
        <v>#VALUE!</v>
      </c>
      <c r="H14" s="17" t="e">
        <f>IF(OR(ISBLANK('Change in Means- Data Input'!O21),ISBLANK('Change in Means- Data Input'!P21)),"",'Change in Means- Data Input'!P21-'Change in Means- Data Input'!O21)</f>
        <v>#VALUE!</v>
      </c>
      <c r="I14" s="17" t="e">
        <f>IF(OR(ISBLANK('Change in Means- Data Input'!Q21),ISBLANK('Change in Means- Data Input'!R21)),"",'Change in Means- Data Input'!R21-'Change in Means- Data Input'!Q21)</f>
        <v>#VALUE!</v>
      </c>
      <c r="J14" s="17" t="e">
        <f>IF(OR(ISBLANK('Change in Means- Data Input'!S21),ISBLANK('Change in Means- Data Input'!T21)),"",'Change in Means- Data Input'!T21-'Change in Means- Data Input'!S21)</f>
        <v>#VALUE!</v>
      </c>
      <c r="K14" s="1" t="str">
        <f>IF('Change in Means- Data Input'!A21="NA","NULL",COUNTIF('Change in Means- Data Input'!A21,"&gt;=3")+COUNTIF('Change in Means- Data Input'!C21,"&gt;=3")+COUNTIF('Change in Means- Data Input'!E21,"&gt;=3")+COUNTIF('Change in Means- Data Input'!G21,"&gt;=3")+COUNTIF('Change in Means- Data Input'!I21,"&gt;=3")+COUNTIF('Change in Means- Data Input'!K21,"&gt;=3")+COUNTIF('Change in Means- Data Input'!M21,"&gt;=3")+COUNTIF('Change in Means- Data Input'!O21,"&gt;=3")+COUNTIF('Change in Means- Data Input'!Q21,"&gt;=3")+COUNTIF('Change in Means- Data Input'!S21,"&gt;=3"))</f>
        <v>NULL</v>
      </c>
      <c r="L14" s="1" t="str">
        <f>IF('Change in Means- Data Input'!B21="NA","NULL",COUNTIF('Change in Means- Data Input'!B21,"&gt;=3")+COUNTIF('Change in Means- Data Input'!D21,"&gt;=3")+COUNTIF('Change in Means- Data Input'!F21,"&gt;=3")+COUNTIF('Change in Means- Data Input'!H21,"&gt;=3")+COUNTIF('Change in Means- Data Input'!J21,"&gt;=3")+COUNTIF('Change in Means- Data Input'!L21,"&gt;=3")+COUNTIF('Change in Means- Data Input'!N21,"&gt;=3")+COUNTIF('Change in Means- Data Input'!P21,"&gt;=3")+COUNTIF('Change in Means- Data Input'!R21,"&gt;=3")+COUNTIF('Change in Means- Data Input'!T21,"&gt;=3"))</f>
        <v>NULL</v>
      </c>
      <c r="M14" s="1" t="str">
        <f>IF(Table37[[#This Row],[Pre]]="NULL","NULL",IF(COUNTIF(A14:J14,"&gt;0"),"Yes","No"))</f>
        <v>NULL</v>
      </c>
      <c r="P14" s="53"/>
      <c r="Q14" s="53"/>
      <c r="R14" s="54"/>
    </row>
    <row r="15" spans="1:24" ht="15" customHeight="1" x14ac:dyDescent="0.2">
      <c r="A15" s="17" t="e">
        <f>IF(OR(ISBLANK('Change in Means- Data Input'!A22), ISBLANK('Change in Means- Data Input'!B22)),"", 'Change in Means- Data Input'!B22-'Change in Means- Data Input'!A22)</f>
        <v>#VALUE!</v>
      </c>
      <c r="B15" s="1" t="e">
        <f>IF(OR(ISBLANK('Change in Means- Data Input'!C22),ISBLANK('Change in Means- Data Input'!D22)),"",'Change in Means- Data Input'!D22-'Change in Means- Data Input'!C22)</f>
        <v>#VALUE!</v>
      </c>
      <c r="C15" s="1" t="e">
        <f>IF(OR(ISBLANK('Change in Means- Data Input'!E22),ISBLANK('Change in Means- Data Input'!F22)),"",'Change in Means- Data Input'!F22-'Change in Means- Data Input'!E22)</f>
        <v>#VALUE!</v>
      </c>
      <c r="D15" s="1" t="e">
        <f>IF(OR(ISBLANK('Change in Means- Data Input'!G22),ISBLANK('Change in Means- Data Input'!H22)),"",'Change in Means- Data Input'!H22-'Change in Means- Data Input'!G22)</f>
        <v>#VALUE!</v>
      </c>
      <c r="E15" s="1" t="e">
        <f>IF(OR(ISBLANK('Change in Means- Data Input'!I22),ISBLANK('Change in Means- Data Input'!J22)),"",'Change in Means- Data Input'!J22-'Change in Means- Data Input'!I22)</f>
        <v>#VALUE!</v>
      </c>
      <c r="F15" s="1" t="e">
        <f>IF(OR(ISBLANK('Change in Means- Data Input'!K22),ISBLANK('Change in Means- Data Input'!L22)),"",'Change in Means- Data Input'!L22-'Change in Means- Data Input'!K22)</f>
        <v>#VALUE!</v>
      </c>
      <c r="G15" s="17" t="e">
        <f>IF(OR(ISBLANK('Change in Means- Data Input'!M22),ISBLANK('Change in Means- Data Input'!N22)),"",'Change in Means- Data Input'!N22-'Change in Means- Data Input'!M22)</f>
        <v>#VALUE!</v>
      </c>
      <c r="H15" s="17" t="e">
        <f>IF(OR(ISBLANK('Change in Means- Data Input'!O22),ISBLANK('Change in Means- Data Input'!P22)),"",'Change in Means- Data Input'!P22-'Change in Means- Data Input'!O22)</f>
        <v>#VALUE!</v>
      </c>
      <c r="I15" s="17" t="e">
        <f>IF(OR(ISBLANK('Change in Means- Data Input'!Q22),ISBLANK('Change in Means- Data Input'!R22)),"",'Change in Means- Data Input'!R22-'Change in Means- Data Input'!Q22)</f>
        <v>#VALUE!</v>
      </c>
      <c r="J15" s="17" t="e">
        <f>IF(OR(ISBLANK('Change in Means- Data Input'!S22),ISBLANK('Change in Means- Data Input'!T22)),"",'Change in Means- Data Input'!T22-'Change in Means- Data Input'!S22)</f>
        <v>#VALUE!</v>
      </c>
      <c r="K15" s="1" t="str">
        <f>IF('Change in Means- Data Input'!A22="NA","NULL",COUNTIF('Change in Means- Data Input'!A22,"&gt;=3")+COUNTIF('Change in Means- Data Input'!C22,"&gt;=3")+COUNTIF('Change in Means- Data Input'!E22,"&gt;=3")+COUNTIF('Change in Means- Data Input'!G22,"&gt;=3")+COUNTIF('Change in Means- Data Input'!I22,"&gt;=3")+COUNTIF('Change in Means- Data Input'!K22,"&gt;=3")+COUNTIF('Change in Means- Data Input'!M22,"&gt;=3")+COUNTIF('Change in Means- Data Input'!O22,"&gt;=3")+COUNTIF('Change in Means- Data Input'!Q22,"&gt;=3")+COUNTIF('Change in Means- Data Input'!S22,"&gt;=3"))</f>
        <v>NULL</v>
      </c>
      <c r="L15" s="1" t="str">
        <f>IF('Change in Means- Data Input'!B22="NA","NULL",COUNTIF('Change in Means- Data Input'!B22,"&gt;=3")+COUNTIF('Change in Means- Data Input'!D22,"&gt;=3")+COUNTIF('Change in Means- Data Input'!F22,"&gt;=3")+COUNTIF('Change in Means- Data Input'!H22,"&gt;=3")+COUNTIF('Change in Means- Data Input'!J22,"&gt;=3")+COUNTIF('Change in Means- Data Input'!L22,"&gt;=3")+COUNTIF('Change in Means- Data Input'!N22,"&gt;=3")+COUNTIF('Change in Means- Data Input'!P22,"&gt;=3")+COUNTIF('Change in Means- Data Input'!R22,"&gt;=3")+COUNTIF('Change in Means- Data Input'!T22,"&gt;=3"))</f>
        <v>NULL</v>
      </c>
      <c r="M15" s="1" t="str">
        <f>IF(Table37[[#This Row],[Pre]]="NULL","NULL",IF(COUNTIF(A15:J15,"&gt;0"),"Yes","No"))</f>
        <v>NULL</v>
      </c>
      <c r="P15" s="6"/>
      <c r="Q15" s="6"/>
      <c r="R15" s="6"/>
    </row>
    <row r="16" spans="1:24" x14ac:dyDescent="0.2">
      <c r="A16" s="17" t="e">
        <f>IF(OR(ISBLANK('Change in Means- Data Input'!A23), ISBLANK('Change in Means- Data Input'!B23)),"", 'Change in Means- Data Input'!B23-'Change in Means- Data Input'!A23)</f>
        <v>#VALUE!</v>
      </c>
      <c r="B16" s="1" t="e">
        <f>IF(OR(ISBLANK('Change in Means- Data Input'!C23),ISBLANK('Change in Means- Data Input'!D23)),"",'Change in Means- Data Input'!D23-'Change in Means- Data Input'!C23)</f>
        <v>#VALUE!</v>
      </c>
      <c r="C16" s="1" t="e">
        <f>IF(OR(ISBLANK('Change in Means- Data Input'!E23),ISBLANK('Change in Means- Data Input'!F23)),"",'Change in Means- Data Input'!F23-'Change in Means- Data Input'!E23)</f>
        <v>#VALUE!</v>
      </c>
      <c r="D16" s="1" t="e">
        <f>IF(OR(ISBLANK('Change in Means- Data Input'!G23),ISBLANK('Change in Means- Data Input'!H23)),"",'Change in Means- Data Input'!H23-'Change in Means- Data Input'!G23)</f>
        <v>#VALUE!</v>
      </c>
      <c r="E16" s="1" t="e">
        <f>IF(OR(ISBLANK('Change in Means- Data Input'!I23),ISBLANK('Change in Means- Data Input'!J23)),"",'Change in Means- Data Input'!J23-'Change in Means- Data Input'!I23)</f>
        <v>#VALUE!</v>
      </c>
      <c r="F16" s="1" t="e">
        <f>IF(OR(ISBLANK('Change in Means- Data Input'!K23),ISBLANK('Change in Means- Data Input'!L23)),"",'Change in Means- Data Input'!L23-'Change in Means- Data Input'!K23)</f>
        <v>#VALUE!</v>
      </c>
      <c r="G16" s="17" t="e">
        <f>IF(OR(ISBLANK('Change in Means- Data Input'!M23),ISBLANK('Change in Means- Data Input'!N23)),"",'Change in Means- Data Input'!N23-'Change in Means- Data Input'!M23)</f>
        <v>#VALUE!</v>
      </c>
      <c r="H16" s="17" t="e">
        <f>IF(OR(ISBLANK('Change in Means- Data Input'!O23),ISBLANK('Change in Means- Data Input'!P23)),"",'Change in Means- Data Input'!P23-'Change in Means- Data Input'!O23)</f>
        <v>#VALUE!</v>
      </c>
      <c r="I16" s="17" t="e">
        <f>IF(OR(ISBLANK('Change in Means- Data Input'!Q23),ISBLANK('Change in Means- Data Input'!R23)),"",'Change in Means- Data Input'!R23-'Change in Means- Data Input'!Q23)</f>
        <v>#VALUE!</v>
      </c>
      <c r="J16" s="17" t="e">
        <f>IF(OR(ISBLANK('Change in Means- Data Input'!S23),ISBLANK('Change in Means- Data Input'!T23)),"",'Change in Means- Data Input'!T23-'Change in Means- Data Input'!S23)</f>
        <v>#VALUE!</v>
      </c>
      <c r="K16" s="1" t="str">
        <f>IF('Change in Means- Data Input'!A23="NA","NULL",COUNTIF('Change in Means- Data Input'!A23,"&gt;=3")+COUNTIF('Change in Means- Data Input'!C23,"&gt;=3")+COUNTIF('Change in Means- Data Input'!E23,"&gt;=3")+COUNTIF('Change in Means- Data Input'!G23,"&gt;=3")+COUNTIF('Change in Means- Data Input'!I23,"&gt;=3")+COUNTIF('Change in Means- Data Input'!K23,"&gt;=3")+COUNTIF('Change in Means- Data Input'!M23,"&gt;=3")+COUNTIF('Change in Means- Data Input'!O23,"&gt;=3")+COUNTIF('Change in Means- Data Input'!Q23,"&gt;=3")+COUNTIF('Change in Means- Data Input'!S23,"&gt;=3"))</f>
        <v>NULL</v>
      </c>
      <c r="L16" s="1" t="str">
        <f>IF('Change in Means- Data Input'!B23="NA","NULL",COUNTIF('Change in Means- Data Input'!B23,"&gt;=3")+COUNTIF('Change in Means- Data Input'!D23,"&gt;=3")+COUNTIF('Change in Means- Data Input'!F23,"&gt;=3")+COUNTIF('Change in Means- Data Input'!H23,"&gt;=3")+COUNTIF('Change in Means- Data Input'!J23,"&gt;=3")+COUNTIF('Change in Means- Data Input'!L23,"&gt;=3")+COUNTIF('Change in Means- Data Input'!N23,"&gt;=3")+COUNTIF('Change in Means- Data Input'!P23,"&gt;=3")+COUNTIF('Change in Means- Data Input'!R23,"&gt;=3")+COUNTIF('Change in Means- Data Input'!T23,"&gt;=3"))</f>
        <v>NULL</v>
      </c>
      <c r="M16" s="1" t="str">
        <f>IF(Table37[[#This Row],[Pre]]="NULL","NULL",IF(COUNTIF(A16:J16,"&gt;0"),"Yes","No"))</f>
        <v>NULL</v>
      </c>
      <c r="P16" s="8"/>
      <c r="Q16" s="8"/>
      <c r="R16" s="5"/>
    </row>
    <row r="17" spans="1:23" x14ac:dyDescent="0.2">
      <c r="A17" s="17" t="e">
        <f>IF(OR(ISBLANK('Change in Means- Data Input'!A24), ISBLANK('Change in Means- Data Input'!B24)),"", 'Change in Means- Data Input'!B24-'Change in Means- Data Input'!A24)</f>
        <v>#VALUE!</v>
      </c>
      <c r="B17" s="1" t="e">
        <f>IF(OR(ISBLANK('Change in Means- Data Input'!C24),ISBLANK('Change in Means- Data Input'!D24)),"",'Change in Means- Data Input'!D24-'Change in Means- Data Input'!C24)</f>
        <v>#VALUE!</v>
      </c>
      <c r="C17" s="1" t="e">
        <f>IF(OR(ISBLANK('Change in Means- Data Input'!E24),ISBLANK('Change in Means- Data Input'!F24)),"",'Change in Means- Data Input'!F24-'Change in Means- Data Input'!E24)</f>
        <v>#VALUE!</v>
      </c>
      <c r="D17" s="1" t="e">
        <f>IF(OR(ISBLANK('Change in Means- Data Input'!G24),ISBLANK('Change in Means- Data Input'!H24)),"",'Change in Means- Data Input'!H24-'Change in Means- Data Input'!G24)</f>
        <v>#VALUE!</v>
      </c>
      <c r="E17" s="1" t="e">
        <f>IF(OR(ISBLANK('Change in Means- Data Input'!I24),ISBLANK('Change in Means- Data Input'!J24)),"",'Change in Means- Data Input'!J24-'Change in Means- Data Input'!I24)</f>
        <v>#VALUE!</v>
      </c>
      <c r="F17" s="1" t="e">
        <f>IF(OR(ISBLANK('Change in Means- Data Input'!K24),ISBLANK('Change in Means- Data Input'!L24)),"",'Change in Means- Data Input'!L24-'Change in Means- Data Input'!K24)</f>
        <v>#VALUE!</v>
      </c>
      <c r="G17" s="17" t="e">
        <f>IF(OR(ISBLANK('Change in Means- Data Input'!M24),ISBLANK('Change in Means- Data Input'!N24)),"",'Change in Means- Data Input'!N24-'Change in Means- Data Input'!M24)</f>
        <v>#VALUE!</v>
      </c>
      <c r="H17" s="17" t="e">
        <f>IF(OR(ISBLANK('Change in Means- Data Input'!O24),ISBLANK('Change in Means- Data Input'!P24)),"",'Change in Means- Data Input'!P24-'Change in Means- Data Input'!O24)</f>
        <v>#VALUE!</v>
      </c>
      <c r="I17" s="17" t="e">
        <f>IF(OR(ISBLANK('Change in Means- Data Input'!Q24),ISBLANK('Change in Means- Data Input'!R24)),"",'Change in Means- Data Input'!R24-'Change in Means- Data Input'!Q24)</f>
        <v>#VALUE!</v>
      </c>
      <c r="J17" s="17" t="e">
        <f>IF(OR(ISBLANK('Change in Means- Data Input'!S24),ISBLANK('Change in Means- Data Input'!T24)),"",'Change in Means- Data Input'!T24-'Change in Means- Data Input'!S24)</f>
        <v>#VALUE!</v>
      </c>
      <c r="K17" s="1" t="str">
        <f>IF('Change in Means- Data Input'!A24="NA","NULL",COUNTIF('Change in Means- Data Input'!A24,"&gt;=3")+COUNTIF('Change in Means- Data Input'!C24,"&gt;=3")+COUNTIF('Change in Means- Data Input'!E24,"&gt;=3")+COUNTIF('Change in Means- Data Input'!G24,"&gt;=3")+COUNTIF('Change in Means- Data Input'!I24,"&gt;=3")+COUNTIF('Change in Means- Data Input'!K24,"&gt;=3")+COUNTIF('Change in Means- Data Input'!M24,"&gt;=3")+COUNTIF('Change in Means- Data Input'!O24,"&gt;=3")+COUNTIF('Change in Means- Data Input'!Q24,"&gt;=3")+COUNTIF('Change in Means- Data Input'!S24,"&gt;=3"))</f>
        <v>NULL</v>
      </c>
      <c r="L17" s="1" t="str">
        <f>IF('Change in Means- Data Input'!B24="NA","NULL",COUNTIF('Change in Means- Data Input'!B24,"&gt;=3")+COUNTIF('Change in Means- Data Input'!D24,"&gt;=3")+COUNTIF('Change in Means- Data Input'!F24,"&gt;=3")+COUNTIF('Change in Means- Data Input'!H24,"&gt;=3")+COUNTIF('Change in Means- Data Input'!J24,"&gt;=3")+COUNTIF('Change in Means- Data Input'!L24,"&gt;=3")+COUNTIF('Change in Means- Data Input'!N24,"&gt;=3")+COUNTIF('Change in Means- Data Input'!P24,"&gt;=3")+COUNTIF('Change in Means- Data Input'!R24,"&gt;=3")+COUNTIF('Change in Means- Data Input'!T24,"&gt;=3"))</f>
        <v>NULL</v>
      </c>
      <c r="M17" s="1" t="str">
        <f>IF(Table37[[#This Row],[Pre]]="NULL","NULL",IF(COUNTIF(A17:J17,"&gt;0"),"Yes","No"))</f>
        <v>NULL</v>
      </c>
      <c r="O17" s="107" t="s">
        <v>47</v>
      </c>
      <c r="P17" s="107"/>
      <c r="Q17" s="107"/>
      <c r="R17" s="107"/>
      <c r="T17" s="116" t="s">
        <v>48</v>
      </c>
      <c r="U17" s="116"/>
      <c r="V17" s="116"/>
      <c r="W17" s="116"/>
    </row>
    <row r="18" spans="1:23" ht="16" x14ac:dyDescent="0.2">
      <c r="A18" s="17" t="e">
        <f>IF(OR(ISBLANK('Change in Means- Data Input'!A25), ISBLANK('Change in Means- Data Input'!B25)),"", 'Change in Means- Data Input'!B25-'Change in Means- Data Input'!A25)</f>
        <v>#VALUE!</v>
      </c>
      <c r="B18" s="1" t="e">
        <f>IF(OR(ISBLANK('Change in Means- Data Input'!C25),ISBLANK('Change in Means- Data Input'!D25)),"",'Change in Means- Data Input'!D25-'Change in Means- Data Input'!C25)</f>
        <v>#VALUE!</v>
      </c>
      <c r="C18" s="1" t="e">
        <f>IF(OR(ISBLANK('Change in Means- Data Input'!E25),ISBLANK('Change in Means- Data Input'!F25)),"",'Change in Means- Data Input'!F25-'Change in Means- Data Input'!E25)</f>
        <v>#VALUE!</v>
      </c>
      <c r="D18" s="1" t="e">
        <f>IF(OR(ISBLANK('Change in Means- Data Input'!G25),ISBLANK('Change in Means- Data Input'!H25)),"",'Change in Means- Data Input'!H25-'Change in Means- Data Input'!G25)</f>
        <v>#VALUE!</v>
      </c>
      <c r="E18" s="1" t="e">
        <f>IF(OR(ISBLANK('Change in Means- Data Input'!I25),ISBLANK('Change in Means- Data Input'!J25)),"",'Change in Means- Data Input'!J25-'Change in Means- Data Input'!I25)</f>
        <v>#VALUE!</v>
      </c>
      <c r="F18" s="1" t="e">
        <f>IF(OR(ISBLANK('Change in Means- Data Input'!K25),ISBLANK('Change in Means- Data Input'!L25)),"",'Change in Means- Data Input'!L25-'Change in Means- Data Input'!K25)</f>
        <v>#VALUE!</v>
      </c>
      <c r="G18" s="17" t="e">
        <f>IF(OR(ISBLANK('Change in Means- Data Input'!M25),ISBLANK('Change in Means- Data Input'!N25)),"",'Change in Means- Data Input'!N25-'Change in Means- Data Input'!M25)</f>
        <v>#VALUE!</v>
      </c>
      <c r="H18" s="17" t="e">
        <f>IF(OR(ISBLANK('Change in Means- Data Input'!O25),ISBLANK('Change in Means- Data Input'!P25)),"",'Change in Means- Data Input'!P25-'Change in Means- Data Input'!O25)</f>
        <v>#VALUE!</v>
      </c>
      <c r="I18" s="17" t="e">
        <f>IF(OR(ISBLANK('Change in Means- Data Input'!Q25),ISBLANK('Change in Means- Data Input'!R25)),"",'Change in Means- Data Input'!R25-'Change in Means- Data Input'!Q25)</f>
        <v>#VALUE!</v>
      </c>
      <c r="J18" s="17" t="e">
        <f>IF(OR(ISBLANK('Change in Means- Data Input'!S25),ISBLANK('Change in Means- Data Input'!T25)),"",'Change in Means- Data Input'!T25-'Change in Means- Data Input'!S25)</f>
        <v>#VALUE!</v>
      </c>
      <c r="K18" s="1" t="str">
        <f>IF('Change in Means- Data Input'!A25="NA","NULL",COUNTIF('Change in Means- Data Input'!A25,"&gt;=3")+COUNTIF('Change in Means- Data Input'!C25,"&gt;=3")+COUNTIF('Change in Means- Data Input'!E25,"&gt;=3")+COUNTIF('Change in Means- Data Input'!G25,"&gt;=3")+COUNTIF('Change in Means- Data Input'!I25,"&gt;=3")+COUNTIF('Change in Means- Data Input'!K25,"&gt;=3")+COUNTIF('Change in Means- Data Input'!M25,"&gt;=3")+COUNTIF('Change in Means- Data Input'!O25,"&gt;=3")+COUNTIF('Change in Means- Data Input'!Q25,"&gt;=3")+COUNTIF('Change in Means- Data Input'!S25,"&gt;=3"))</f>
        <v>NULL</v>
      </c>
      <c r="L18" s="1" t="str">
        <f>IF('Change in Means- Data Input'!B25="NA","NULL",COUNTIF('Change in Means- Data Input'!B25,"&gt;=3")+COUNTIF('Change in Means- Data Input'!D25,"&gt;=3")+COUNTIF('Change in Means- Data Input'!F25,"&gt;=3")+COUNTIF('Change in Means- Data Input'!H25,"&gt;=3")+COUNTIF('Change in Means- Data Input'!J25,"&gt;=3")+COUNTIF('Change in Means- Data Input'!L25,"&gt;=3")+COUNTIF('Change in Means- Data Input'!N25,"&gt;=3")+COUNTIF('Change in Means- Data Input'!P25,"&gt;=3")+COUNTIF('Change in Means- Data Input'!R25,"&gt;=3")+COUNTIF('Change in Means- Data Input'!T25,"&gt;=3"))</f>
        <v>NULL</v>
      </c>
      <c r="M18" s="1" t="str">
        <f>IF(Table37[[#This Row],[Pre]]="NULL","NULL",IF(COUNTIF(A18:J18,"&gt;0"),"Yes","No"))</f>
        <v>NULL</v>
      </c>
      <c r="O18" s="89"/>
      <c r="P18" s="90" t="s">
        <v>49</v>
      </c>
      <c r="Q18" s="90" t="s">
        <v>50</v>
      </c>
      <c r="R18" s="90" t="s">
        <v>51</v>
      </c>
      <c r="T18" s="113"/>
      <c r="U18" s="113"/>
      <c r="V18" s="35" t="s">
        <v>52</v>
      </c>
      <c r="W18" s="32" t="s">
        <v>53</v>
      </c>
    </row>
    <row r="19" spans="1:23" x14ac:dyDescent="0.2">
      <c r="A19" s="17" t="e">
        <f>IF(OR(ISBLANK('Change in Means- Data Input'!A26), ISBLANK('Change in Means- Data Input'!B26)),"", 'Change in Means- Data Input'!B26-'Change in Means- Data Input'!A26)</f>
        <v>#VALUE!</v>
      </c>
      <c r="B19" s="1" t="e">
        <f>IF(OR(ISBLANK('Change in Means- Data Input'!C26),ISBLANK('Change in Means- Data Input'!D26)),"",'Change in Means- Data Input'!D26-'Change in Means- Data Input'!C26)</f>
        <v>#VALUE!</v>
      </c>
      <c r="C19" s="1" t="e">
        <f>IF(OR(ISBLANK('Change in Means- Data Input'!E26),ISBLANK('Change in Means- Data Input'!F26)),"",'Change in Means- Data Input'!F26-'Change in Means- Data Input'!E26)</f>
        <v>#VALUE!</v>
      </c>
      <c r="D19" s="1" t="e">
        <f>IF(OR(ISBLANK('Change in Means- Data Input'!G26),ISBLANK('Change in Means- Data Input'!H26)),"",'Change in Means- Data Input'!H26-'Change in Means- Data Input'!G26)</f>
        <v>#VALUE!</v>
      </c>
      <c r="E19" s="1" t="e">
        <f>IF(OR(ISBLANK('Change in Means- Data Input'!I26),ISBLANK('Change in Means- Data Input'!J26)),"",'Change in Means- Data Input'!J26-'Change in Means- Data Input'!I26)</f>
        <v>#VALUE!</v>
      </c>
      <c r="F19" s="1" t="e">
        <f>IF(OR(ISBLANK('Change in Means- Data Input'!K26),ISBLANK('Change in Means- Data Input'!L26)),"",'Change in Means- Data Input'!L26-'Change in Means- Data Input'!K26)</f>
        <v>#VALUE!</v>
      </c>
      <c r="G19" s="17" t="e">
        <f>IF(OR(ISBLANK('Change in Means- Data Input'!M26),ISBLANK('Change in Means- Data Input'!N26)),"",'Change in Means- Data Input'!N26-'Change in Means- Data Input'!M26)</f>
        <v>#VALUE!</v>
      </c>
      <c r="H19" s="17" t="e">
        <f>IF(OR(ISBLANK('Change in Means- Data Input'!O26),ISBLANK('Change in Means- Data Input'!P26)),"",'Change in Means- Data Input'!P26-'Change in Means- Data Input'!O26)</f>
        <v>#VALUE!</v>
      </c>
      <c r="I19" s="17" t="e">
        <f>IF(OR(ISBLANK('Change in Means- Data Input'!Q26),ISBLANK('Change in Means- Data Input'!R26)),"",'Change in Means- Data Input'!R26-'Change in Means- Data Input'!Q26)</f>
        <v>#VALUE!</v>
      </c>
      <c r="J19" s="17" t="e">
        <f>IF(OR(ISBLANK('Change in Means- Data Input'!S26),ISBLANK('Change in Means- Data Input'!T26)),"",'Change in Means- Data Input'!T26-'Change in Means- Data Input'!S26)</f>
        <v>#VALUE!</v>
      </c>
      <c r="K19" s="1" t="str">
        <f>IF('Change in Means- Data Input'!A26="NA","NULL",COUNTIF('Change in Means- Data Input'!A26,"&gt;=3")+COUNTIF('Change in Means- Data Input'!C26,"&gt;=3")+COUNTIF('Change in Means- Data Input'!E26,"&gt;=3")+COUNTIF('Change in Means- Data Input'!G26,"&gt;=3")+COUNTIF('Change in Means- Data Input'!I26,"&gt;=3")+COUNTIF('Change in Means- Data Input'!K26,"&gt;=3")+COUNTIF('Change in Means- Data Input'!M26,"&gt;=3")+COUNTIF('Change in Means- Data Input'!O26,"&gt;=3")+COUNTIF('Change in Means- Data Input'!Q26,"&gt;=3")+COUNTIF('Change in Means- Data Input'!S26,"&gt;=3"))</f>
        <v>NULL</v>
      </c>
      <c r="L19" s="1" t="str">
        <f>IF('Change in Means- Data Input'!B26="NA","NULL",COUNTIF('Change in Means- Data Input'!B26,"&gt;=3")+COUNTIF('Change in Means- Data Input'!D26,"&gt;=3")+COUNTIF('Change in Means- Data Input'!F26,"&gt;=3")+COUNTIF('Change in Means- Data Input'!H26,"&gt;=3")+COUNTIF('Change in Means- Data Input'!J26,"&gt;=3")+COUNTIF('Change in Means- Data Input'!L26,"&gt;=3")+COUNTIF('Change in Means- Data Input'!N26,"&gt;=3")+COUNTIF('Change in Means- Data Input'!P26,"&gt;=3")+COUNTIF('Change in Means- Data Input'!R26,"&gt;=3")+COUNTIF('Change in Means- Data Input'!T26,"&gt;=3"))</f>
        <v>NULL</v>
      </c>
      <c r="M19" s="1" t="str">
        <f>IF(Table37[[#This Row],[Pre]]="NULL","NULL",IF(COUNTIF(A19:J19,"&gt;0"),"Yes","No"))</f>
        <v>NULL</v>
      </c>
      <c r="O19" s="91">
        <v>10</v>
      </c>
      <c r="P19" s="89">
        <f>COUNTIF(Table37[Pre],10)</f>
        <v>0</v>
      </c>
      <c r="Q19" s="97" t="e">
        <f>P19/P30</f>
        <v>#DIV/0!</v>
      </c>
      <c r="R19" s="99" t="e">
        <f>Q19</f>
        <v>#DIV/0!</v>
      </c>
      <c r="T19" s="114" t="s">
        <v>54</v>
      </c>
      <c r="U19" s="114"/>
      <c r="V19" s="115">
        <f>COUNTIF(Table42[Increased in Understanding], "Yes")</f>
        <v>0</v>
      </c>
      <c r="W19" s="153" t="e">
        <f>(COUNTIF(Table42[Increased in Understanding], "Yes")/(COUNTIF(Table42[Increased in Understanding], "Yes") + COUNTIF(Table42[Increased in Understanding], "No")))</f>
        <v>#DIV/0!</v>
      </c>
    </row>
    <row r="20" spans="1:23" x14ac:dyDescent="0.2">
      <c r="A20" s="17" t="e">
        <f>IF(OR(ISBLANK('Change in Means- Data Input'!A27), ISBLANK('Change in Means- Data Input'!B27)),"", 'Change in Means- Data Input'!B27-'Change in Means- Data Input'!A27)</f>
        <v>#VALUE!</v>
      </c>
      <c r="B20" s="1" t="e">
        <f>IF(OR(ISBLANK('Change in Means- Data Input'!C27),ISBLANK('Change in Means- Data Input'!D27)),"",'Change in Means- Data Input'!D27-'Change in Means- Data Input'!C27)</f>
        <v>#VALUE!</v>
      </c>
      <c r="C20" s="1" t="e">
        <f>IF(OR(ISBLANK('Change in Means- Data Input'!E27),ISBLANK('Change in Means- Data Input'!F27)),"",'Change in Means- Data Input'!F27-'Change in Means- Data Input'!E27)</f>
        <v>#VALUE!</v>
      </c>
      <c r="D20" s="1" t="e">
        <f>IF(OR(ISBLANK('Change in Means- Data Input'!G27),ISBLANK('Change in Means- Data Input'!H27)),"",'Change in Means- Data Input'!H27-'Change in Means- Data Input'!G27)</f>
        <v>#VALUE!</v>
      </c>
      <c r="E20" s="1" t="e">
        <f>IF(OR(ISBLANK('Change in Means- Data Input'!I27),ISBLANK('Change in Means- Data Input'!J27)),"",'Change in Means- Data Input'!J27-'Change in Means- Data Input'!I27)</f>
        <v>#VALUE!</v>
      </c>
      <c r="F20" s="1" t="e">
        <f>IF(OR(ISBLANK('Change in Means- Data Input'!K27),ISBLANK('Change in Means- Data Input'!L27)),"",'Change in Means- Data Input'!L27-'Change in Means- Data Input'!K27)</f>
        <v>#VALUE!</v>
      </c>
      <c r="G20" s="17" t="e">
        <f>IF(OR(ISBLANK('Change in Means- Data Input'!M27),ISBLANK('Change in Means- Data Input'!N27)),"",'Change in Means- Data Input'!N27-'Change in Means- Data Input'!M27)</f>
        <v>#VALUE!</v>
      </c>
      <c r="H20" s="17" t="e">
        <f>IF(OR(ISBLANK('Change in Means- Data Input'!O27),ISBLANK('Change in Means- Data Input'!P27)),"",'Change in Means- Data Input'!P27-'Change in Means- Data Input'!O27)</f>
        <v>#VALUE!</v>
      </c>
      <c r="I20" s="17" t="e">
        <f>IF(OR(ISBLANK('Change in Means- Data Input'!Q27),ISBLANK('Change in Means- Data Input'!R27)),"",'Change in Means- Data Input'!R27-'Change in Means- Data Input'!Q27)</f>
        <v>#VALUE!</v>
      </c>
      <c r="J20" s="17" t="e">
        <f>IF(OR(ISBLANK('Change in Means- Data Input'!S27),ISBLANK('Change in Means- Data Input'!T27)),"",'Change in Means- Data Input'!T27-'Change in Means- Data Input'!S27)</f>
        <v>#VALUE!</v>
      </c>
      <c r="K20" s="1" t="str">
        <f>IF('Change in Means- Data Input'!A27="NA","NULL",COUNTIF('Change in Means- Data Input'!A27,"&gt;=3")+COUNTIF('Change in Means- Data Input'!C27,"&gt;=3")+COUNTIF('Change in Means- Data Input'!E27,"&gt;=3")+COUNTIF('Change in Means- Data Input'!G27,"&gt;=3")+COUNTIF('Change in Means- Data Input'!I27,"&gt;=3")+COUNTIF('Change in Means- Data Input'!K27,"&gt;=3")+COUNTIF('Change in Means- Data Input'!M27,"&gt;=3")+COUNTIF('Change in Means- Data Input'!O27,"&gt;=3")+COUNTIF('Change in Means- Data Input'!Q27,"&gt;=3")+COUNTIF('Change in Means- Data Input'!S27,"&gt;=3"))</f>
        <v>NULL</v>
      </c>
      <c r="L20" s="1" t="str">
        <f>IF('Change in Means- Data Input'!B27="NA","NULL",COUNTIF('Change in Means- Data Input'!B27,"&gt;=3")+COUNTIF('Change in Means- Data Input'!D27,"&gt;=3")+COUNTIF('Change in Means- Data Input'!F27,"&gt;=3")+COUNTIF('Change in Means- Data Input'!H27,"&gt;=3")+COUNTIF('Change in Means- Data Input'!J27,"&gt;=3")+COUNTIF('Change in Means- Data Input'!L27,"&gt;=3")+COUNTIF('Change in Means- Data Input'!N27,"&gt;=3")+COUNTIF('Change in Means- Data Input'!P27,"&gt;=3")+COUNTIF('Change in Means- Data Input'!R27,"&gt;=3")+COUNTIF('Change in Means- Data Input'!T27,"&gt;=3"))</f>
        <v>NULL</v>
      </c>
      <c r="M20" s="1" t="str">
        <f>IF(Table37[[#This Row],[Pre]]="NULL","NULL",IF(COUNTIF(A20:J20,"&gt;0"),"Yes","No"))</f>
        <v>NULL</v>
      </c>
      <c r="O20" s="91">
        <v>9</v>
      </c>
      <c r="P20" s="89">
        <f>COUNTIF(Table37[Pre],9)</f>
        <v>0</v>
      </c>
      <c r="Q20" s="97" t="e">
        <f>P20/P30</f>
        <v>#DIV/0!</v>
      </c>
      <c r="R20" s="99" t="e">
        <f>R19+Q20</f>
        <v>#DIV/0!</v>
      </c>
      <c r="T20" s="114"/>
      <c r="U20" s="114"/>
      <c r="V20" s="115"/>
      <c r="W20" s="153"/>
    </row>
    <row r="21" spans="1:23" x14ac:dyDescent="0.2">
      <c r="A21" s="17" t="e">
        <f>IF(OR(ISBLANK('Change in Means- Data Input'!A28), ISBLANK('Change in Means- Data Input'!B28)),"", 'Change in Means- Data Input'!B28-'Change in Means- Data Input'!A28)</f>
        <v>#VALUE!</v>
      </c>
      <c r="B21" s="1" t="e">
        <f>IF(OR(ISBLANK('Change in Means- Data Input'!C28),ISBLANK('Change in Means- Data Input'!D28)),"",'Change in Means- Data Input'!D28-'Change in Means- Data Input'!C28)</f>
        <v>#VALUE!</v>
      </c>
      <c r="C21" s="1" t="e">
        <f>IF(OR(ISBLANK('Change in Means- Data Input'!E28),ISBLANK('Change in Means- Data Input'!F28)),"",'Change in Means- Data Input'!F28-'Change in Means- Data Input'!E28)</f>
        <v>#VALUE!</v>
      </c>
      <c r="D21" s="1" t="e">
        <f>IF(OR(ISBLANK('Change in Means- Data Input'!G28),ISBLANK('Change in Means- Data Input'!H28)),"",'Change in Means- Data Input'!H28-'Change in Means- Data Input'!G28)</f>
        <v>#VALUE!</v>
      </c>
      <c r="E21" s="1" t="e">
        <f>IF(OR(ISBLANK('Change in Means- Data Input'!I28),ISBLANK('Change in Means- Data Input'!J28)),"",'Change in Means- Data Input'!J28-'Change in Means- Data Input'!I28)</f>
        <v>#VALUE!</v>
      </c>
      <c r="F21" s="1" t="e">
        <f>IF(OR(ISBLANK('Change in Means- Data Input'!K28),ISBLANK('Change in Means- Data Input'!L28)),"",'Change in Means- Data Input'!L28-'Change in Means- Data Input'!K28)</f>
        <v>#VALUE!</v>
      </c>
      <c r="G21" s="17" t="e">
        <f>IF(OR(ISBLANK('Change in Means- Data Input'!M28),ISBLANK('Change in Means- Data Input'!N28)),"",'Change in Means- Data Input'!N28-'Change in Means- Data Input'!M28)</f>
        <v>#VALUE!</v>
      </c>
      <c r="H21" s="17" t="e">
        <f>IF(OR(ISBLANK('Change in Means- Data Input'!O28),ISBLANK('Change in Means- Data Input'!P28)),"",'Change in Means- Data Input'!P28-'Change in Means- Data Input'!O28)</f>
        <v>#VALUE!</v>
      </c>
      <c r="I21" s="17" t="e">
        <f>IF(OR(ISBLANK('Change in Means- Data Input'!Q28),ISBLANK('Change in Means- Data Input'!R28)),"",'Change in Means- Data Input'!R28-'Change in Means- Data Input'!Q28)</f>
        <v>#VALUE!</v>
      </c>
      <c r="J21" s="17" t="e">
        <f>IF(OR(ISBLANK('Change in Means- Data Input'!S28),ISBLANK('Change in Means- Data Input'!T28)),"",'Change in Means- Data Input'!T28-'Change in Means- Data Input'!S28)</f>
        <v>#VALUE!</v>
      </c>
      <c r="K21" s="1" t="str">
        <f>IF('Change in Means- Data Input'!A28="NA","NULL",COUNTIF('Change in Means- Data Input'!A28,"&gt;=3")+COUNTIF('Change in Means- Data Input'!C28,"&gt;=3")+COUNTIF('Change in Means- Data Input'!E28,"&gt;=3")+COUNTIF('Change in Means- Data Input'!G28,"&gt;=3")+COUNTIF('Change in Means- Data Input'!I28,"&gt;=3")+COUNTIF('Change in Means- Data Input'!K28,"&gt;=3")+COUNTIF('Change in Means- Data Input'!M28,"&gt;=3")+COUNTIF('Change in Means- Data Input'!O28,"&gt;=3")+COUNTIF('Change in Means- Data Input'!Q28,"&gt;=3")+COUNTIF('Change in Means- Data Input'!S28,"&gt;=3"))</f>
        <v>NULL</v>
      </c>
      <c r="L21" s="1" t="str">
        <f>IF('Change in Means- Data Input'!B28="NA","NULL",COUNTIF('Change in Means- Data Input'!B28,"&gt;=3")+COUNTIF('Change in Means- Data Input'!D28,"&gt;=3")+COUNTIF('Change in Means- Data Input'!F28,"&gt;=3")+COUNTIF('Change in Means- Data Input'!H28,"&gt;=3")+COUNTIF('Change in Means- Data Input'!J28,"&gt;=3")+COUNTIF('Change in Means- Data Input'!L28,"&gt;=3")+COUNTIF('Change in Means- Data Input'!N28,"&gt;=3")+COUNTIF('Change in Means- Data Input'!P28,"&gt;=3")+COUNTIF('Change in Means- Data Input'!R28,"&gt;=3")+COUNTIF('Change in Means- Data Input'!T28,"&gt;=3"))</f>
        <v>NULL</v>
      </c>
      <c r="M21" s="1" t="str">
        <f>IF(Table37[[#This Row],[Pre]]="NULL","NULL",IF(COUNTIF(A21:J21,"&gt;0"),"Yes","No"))</f>
        <v>NULL</v>
      </c>
      <c r="O21" s="91">
        <v>8</v>
      </c>
      <c r="P21" s="89">
        <f>COUNTIF(Table37[Pre],8)</f>
        <v>0</v>
      </c>
      <c r="Q21" s="97" t="e">
        <f>P21/P30</f>
        <v>#DIV/0!</v>
      </c>
      <c r="R21" s="99" t="e">
        <f>R20+Q21</f>
        <v>#DIV/0!</v>
      </c>
    </row>
    <row r="22" spans="1:23" x14ac:dyDescent="0.2">
      <c r="A22" s="17" t="e">
        <f>IF(OR(ISBLANK('Change in Means- Data Input'!A29), ISBLANK('Change in Means- Data Input'!B29)),"", 'Change in Means- Data Input'!B29-'Change in Means- Data Input'!A29)</f>
        <v>#VALUE!</v>
      </c>
      <c r="B22" s="1" t="e">
        <f>IF(OR(ISBLANK('Change in Means- Data Input'!C29),ISBLANK('Change in Means- Data Input'!D29)),"",'Change in Means- Data Input'!D29-'Change in Means- Data Input'!C29)</f>
        <v>#VALUE!</v>
      </c>
      <c r="C22" s="1" t="e">
        <f>IF(OR(ISBLANK('Change in Means- Data Input'!E29),ISBLANK('Change in Means- Data Input'!F29)),"",'Change in Means- Data Input'!F29-'Change in Means- Data Input'!E29)</f>
        <v>#VALUE!</v>
      </c>
      <c r="D22" s="1" t="e">
        <f>IF(OR(ISBLANK('Change in Means- Data Input'!G29),ISBLANK('Change in Means- Data Input'!H29)),"",'Change in Means- Data Input'!H29-'Change in Means- Data Input'!G29)</f>
        <v>#VALUE!</v>
      </c>
      <c r="E22" s="1" t="e">
        <f>IF(OR(ISBLANK('Change in Means- Data Input'!I29),ISBLANK('Change in Means- Data Input'!J29)),"",'Change in Means- Data Input'!J29-'Change in Means- Data Input'!I29)</f>
        <v>#VALUE!</v>
      </c>
      <c r="F22" s="1" t="e">
        <f>IF(OR(ISBLANK('Change in Means- Data Input'!K29),ISBLANK('Change in Means- Data Input'!L29)),"",'Change in Means- Data Input'!L29-'Change in Means- Data Input'!K29)</f>
        <v>#VALUE!</v>
      </c>
      <c r="G22" s="17" t="e">
        <f>IF(OR(ISBLANK('Change in Means- Data Input'!M29),ISBLANK('Change in Means- Data Input'!N29)),"",'Change in Means- Data Input'!N29-'Change in Means- Data Input'!M29)</f>
        <v>#VALUE!</v>
      </c>
      <c r="H22" s="17" t="e">
        <f>IF(OR(ISBLANK('Change in Means- Data Input'!O29),ISBLANK('Change in Means- Data Input'!P29)),"",'Change in Means- Data Input'!P29-'Change in Means- Data Input'!O29)</f>
        <v>#VALUE!</v>
      </c>
      <c r="I22" s="17" t="e">
        <f>IF(OR(ISBLANK('Change in Means- Data Input'!Q29),ISBLANK('Change in Means- Data Input'!R29)),"",'Change in Means- Data Input'!R29-'Change in Means- Data Input'!Q29)</f>
        <v>#VALUE!</v>
      </c>
      <c r="J22" s="17" t="e">
        <f>IF(OR(ISBLANK('Change in Means- Data Input'!S29),ISBLANK('Change in Means- Data Input'!T29)),"",'Change in Means- Data Input'!T29-'Change in Means- Data Input'!S29)</f>
        <v>#VALUE!</v>
      </c>
      <c r="K22" s="1" t="str">
        <f>IF('Change in Means- Data Input'!A29="NA","NULL",COUNTIF('Change in Means- Data Input'!A29,"&gt;=3")+COUNTIF('Change in Means- Data Input'!C29,"&gt;=3")+COUNTIF('Change in Means- Data Input'!E29,"&gt;=3")+COUNTIF('Change in Means- Data Input'!G29,"&gt;=3")+COUNTIF('Change in Means- Data Input'!I29,"&gt;=3")+COUNTIF('Change in Means- Data Input'!K29,"&gt;=3")+COUNTIF('Change in Means- Data Input'!M29,"&gt;=3")+COUNTIF('Change in Means- Data Input'!O29,"&gt;=3")+COUNTIF('Change in Means- Data Input'!Q29,"&gt;=3")+COUNTIF('Change in Means- Data Input'!S29,"&gt;=3"))</f>
        <v>NULL</v>
      </c>
      <c r="L22" s="1" t="str">
        <f>IF('Change in Means- Data Input'!B29="NA","NULL",COUNTIF('Change in Means- Data Input'!B29,"&gt;=3")+COUNTIF('Change in Means- Data Input'!D29,"&gt;=3")+COUNTIF('Change in Means- Data Input'!F29,"&gt;=3")+COUNTIF('Change in Means- Data Input'!H29,"&gt;=3")+COUNTIF('Change in Means- Data Input'!J29,"&gt;=3")+COUNTIF('Change in Means- Data Input'!L29,"&gt;=3")+COUNTIF('Change in Means- Data Input'!N29,"&gt;=3")+COUNTIF('Change in Means- Data Input'!P29,"&gt;=3")+COUNTIF('Change in Means- Data Input'!R29,"&gt;=3")+COUNTIF('Change in Means- Data Input'!T29,"&gt;=3"))</f>
        <v>NULL</v>
      </c>
      <c r="M22" s="1" t="str">
        <f>IF(Table37[[#This Row],[Pre]]="NULL","NULL",IF(COUNTIF(A22:J22,"&gt;0"),"Yes","No"))</f>
        <v>NULL</v>
      </c>
      <c r="O22" s="91">
        <v>7</v>
      </c>
      <c r="P22" s="89">
        <f>COUNTIF(Table37[Pre],7)</f>
        <v>0</v>
      </c>
      <c r="Q22" s="97" t="e">
        <f>P22/P30</f>
        <v>#DIV/0!</v>
      </c>
      <c r="R22" s="99" t="e">
        <f>R21+Q22</f>
        <v>#DIV/0!</v>
      </c>
    </row>
    <row r="23" spans="1:23" x14ac:dyDescent="0.2">
      <c r="A23" s="17" t="e">
        <f>IF(OR(ISBLANK('Change in Means- Data Input'!A30), ISBLANK('Change in Means- Data Input'!B30)),"", 'Change in Means- Data Input'!B30-'Change in Means- Data Input'!A30)</f>
        <v>#VALUE!</v>
      </c>
      <c r="B23" s="1" t="e">
        <f>IF(OR(ISBLANK('Change in Means- Data Input'!C30),ISBLANK('Change in Means- Data Input'!D30)),"",'Change in Means- Data Input'!D30-'Change in Means- Data Input'!C30)</f>
        <v>#VALUE!</v>
      </c>
      <c r="C23" s="1" t="e">
        <f>IF(OR(ISBLANK('Change in Means- Data Input'!E30),ISBLANK('Change in Means- Data Input'!F30)),"",'Change in Means- Data Input'!F30-'Change in Means- Data Input'!E30)</f>
        <v>#VALUE!</v>
      </c>
      <c r="D23" s="1" t="e">
        <f>IF(OR(ISBLANK('Change in Means- Data Input'!G30),ISBLANK('Change in Means- Data Input'!H30)),"",'Change in Means- Data Input'!H30-'Change in Means- Data Input'!G30)</f>
        <v>#VALUE!</v>
      </c>
      <c r="E23" s="1" t="e">
        <f>IF(OR(ISBLANK('Change in Means- Data Input'!I30),ISBLANK('Change in Means- Data Input'!J30)),"",'Change in Means- Data Input'!J30-'Change in Means- Data Input'!I30)</f>
        <v>#VALUE!</v>
      </c>
      <c r="F23" s="1" t="e">
        <f>IF(OR(ISBLANK('Change in Means- Data Input'!K30),ISBLANK('Change in Means- Data Input'!L30)),"",'Change in Means- Data Input'!L30-'Change in Means- Data Input'!K30)</f>
        <v>#VALUE!</v>
      </c>
      <c r="G23" s="17" t="e">
        <f>IF(OR(ISBLANK('Change in Means- Data Input'!M30),ISBLANK('Change in Means- Data Input'!N30)),"",'Change in Means- Data Input'!N30-'Change in Means- Data Input'!M30)</f>
        <v>#VALUE!</v>
      </c>
      <c r="H23" s="17" t="e">
        <f>IF(OR(ISBLANK('Change in Means- Data Input'!O30),ISBLANK('Change in Means- Data Input'!P30)),"",'Change in Means- Data Input'!P30-'Change in Means- Data Input'!O30)</f>
        <v>#VALUE!</v>
      </c>
      <c r="I23" s="17" t="e">
        <f>IF(OR(ISBLANK('Change in Means- Data Input'!Q30),ISBLANK('Change in Means- Data Input'!R30)),"",'Change in Means- Data Input'!R30-'Change in Means- Data Input'!Q30)</f>
        <v>#VALUE!</v>
      </c>
      <c r="J23" s="17" t="e">
        <f>IF(OR(ISBLANK('Change in Means- Data Input'!S30),ISBLANK('Change in Means- Data Input'!T30)),"",'Change in Means- Data Input'!T30-'Change in Means- Data Input'!S30)</f>
        <v>#VALUE!</v>
      </c>
      <c r="K23" s="1" t="str">
        <f>IF('Change in Means- Data Input'!A30="NA","NULL",COUNTIF('Change in Means- Data Input'!A30,"&gt;=3")+COUNTIF('Change in Means- Data Input'!C30,"&gt;=3")+COUNTIF('Change in Means- Data Input'!E30,"&gt;=3")+COUNTIF('Change in Means- Data Input'!G30,"&gt;=3")+COUNTIF('Change in Means- Data Input'!I30,"&gt;=3")+COUNTIF('Change in Means- Data Input'!K30,"&gt;=3")+COUNTIF('Change in Means- Data Input'!M30,"&gt;=3")+COUNTIF('Change in Means- Data Input'!O30,"&gt;=3")+COUNTIF('Change in Means- Data Input'!Q30,"&gt;=3")+COUNTIF('Change in Means- Data Input'!S30,"&gt;=3"))</f>
        <v>NULL</v>
      </c>
      <c r="L23" s="1" t="str">
        <f>IF('Change in Means- Data Input'!B30="NA","NULL",COUNTIF('Change in Means- Data Input'!B30,"&gt;=3")+COUNTIF('Change in Means- Data Input'!D30,"&gt;=3")+COUNTIF('Change in Means- Data Input'!F30,"&gt;=3")+COUNTIF('Change in Means- Data Input'!H30,"&gt;=3")+COUNTIF('Change in Means- Data Input'!J30,"&gt;=3")+COUNTIF('Change in Means- Data Input'!L30,"&gt;=3")+COUNTIF('Change in Means- Data Input'!N30,"&gt;=3")+COUNTIF('Change in Means- Data Input'!P30,"&gt;=3")+COUNTIF('Change in Means- Data Input'!R30,"&gt;=3")+COUNTIF('Change in Means- Data Input'!T30,"&gt;=3"))</f>
        <v>NULL</v>
      </c>
      <c r="M23" s="1" t="str">
        <f>IF(Table37[[#This Row],[Pre]]="NULL","NULL",IF(COUNTIF(A23:J23,"&gt;0"),"Yes","No"))</f>
        <v>NULL</v>
      </c>
      <c r="O23" s="91">
        <v>6</v>
      </c>
      <c r="P23" s="89">
        <f>COUNTIF(Table37[Pre],6)</f>
        <v>0</v>
      </c>
      <c r="Q23" s="92" t="e">
        <f>P23/P30</f>
        <v>#DIV/0!</v>
      </c>
      <c r="R23" s="99" t="e">
        <f>R22+Q23</f>
        <v>#DIV/0!</v>
      </c>
    </row>
    <row r="24" spans="1:23" x14ac:dyDescent="0.2">
      <c r="A24" s="17" t="e">
        <f>IF(OR(ISBLANK('Change in Means- Data Input'!A31), ISBLANK('Change in Means- Data Input'!B31)),"", 'Change in Means- Data Input'!B31-'Change in Means- Data Input'!A31)</f>
        <v>#VALUE!</v>
      </c>
      <c r="B24" s="1" t="e">
        <f>IF(OR(ISBLANK('Change in Means- Data Input'!C31),ISBLANK('Change in Means- Data Input'!D31)),"",'Change in Means- Data Input'!D31-'Change in Means- Data Input'!C31)</f>
        <v>#VALUE!</v>
      </c>
      <c r="C24" s="1" t="e">
        <f>IF(OR(ISBLANK('Change in Means- Data Input'!E31),ISBLANK('Change in Means- Data Input'!F31)),"",'Change in Means- Data Input'!F31-'Change in Means- Data Input'!E31)</f>
        <v>#VALUE!</v>
      </c>
      <c r="D24" s="1" t="e">
        <f>IF(OR(ISBLANK('Change in Means- Data Input'!G31),ISBLANK('Change in Means- Data Input'!H31)),"",'Change in Means- Data Input'!H31-'Change in Means- Data Input'!G31)</f>
        <v>#VALUE!</v>
      </c>
      <c r="E24" s="1" t="e">
        <f>IF(OR(ISBLANK('Change in Means- Data Input'!I31),ISBLANK('Change in Means- Data Input'!J31)),"",'Change in Means- Data Input'!J31-'Change in Means- Data Input'!I31)</f>
        <v>#VALUE!</v>
      </c>
      <c r="F24" s="1" t="e">
        <f>IF(OR(ISBLANK('Change in Means- Data Input'!K31),ISBLANK('Change in Means- Data Input'!L31)),"",'Change in Means- Data Input'!L31-'Change in Means- Data Input'!K31)</f>
        <v>#VALUE!</v>
      </c>
      <c r="G24" s="17" t="e">
        <f>IF(OR(ISBLANK('Change in Means- Data Input'!M31),ISBLANK('Change in Means- Data Input'!N31)),"",'Change in Means- Data Input'!N31-'Change in Means- Data Input'!M31)</f>
        <v>#VALUE!</v>
      </c>
      <c r="H24" s="17" t="e">
        <f>IF(OR(ISBLANK('Change in Means- Data Input'!O31),ISBLANK('Change in Means- Data Input'!P31)),"",'Change in Means- Data Input'!P31-'Change in Means- Data Input'!O31)</f>
        <v>#VALUE!</v>
      </c>
      <c r="I24" s="17" t="e">
        <f>IF(OR(ISBLANK('Change in Means- Data Input'!Q31),ISBLANK('Change in Means- Data Input'!R31)),"",'Change in Means- Data Input'!R31-'Change in Means- Data Input'!Q31)</f>
        <v>#VALUE!</v>
      </c>
      <c r="J24" s="17" t="e">
        <f>IF(OR(ISBLANK('Change in Means- Data Input'!S31),ISBLANK('Change in Means- Data Input'!T31)),"",'Change in Means- Data Input'!T31-'Change in Means- Data Input'!S31)</f>
        <v>#VALUE!</v>
      </c>
      <c r="K24" s="1" t="str">
        <f>IF('Change in Means- Data Input'!A31="NA","NULL",COUNTIF('Change in Means- Data Input'!A31,"&gt;=3")+COUNTIF('Change in Means- Data Input'!C31,"&gt;=3")+COUNTIF('Change in Means- Data Input'!E31,"&gt;=3")+COUNTIF('Change in Means- Data Input'!G31,"&gt;=3")+COUNTIF('Change in Means- Data Input'!I31,"&gt;=3")+COUNTIF('Change in Means- Data Input'!K31,"&gt;=3")+COUNTIF('Change in Means- Data Input'!M31,"&gt;=3")+COUNTIF('Change in Means- Data Input'!O31,"&gt;=3")+COUNTIF('Change in Means- Data Input'!Q31,"&gt;=3")+COUNTIF('Change in Means- Data Input'!S31,"&gt;=3"))</f>
        <v>NULL</v>
      </c>
      <c r="L24" s="1" t="str">
        <f>IF('Change in Means- Data Input'!B31="NA","NULL",COUNTIF('Change in Means- Data Input'!B31,"&gt;=3")+COUNTIF('Change in Means- Data Input'!D31,"&gt;=3")+COUNTIF('Change in Means- Data Input'!F31,"&gt;=3")+COUNTIF('Change in Means- Data Input'!H31,"&gt;=3")+COUNTIF('Change in Means- Data Input'!J31,"&gt;=3")+COUNTIF('Change in Means- Data Input'!L31,"&gt;=3")+COUNTIF('Change in Means- Data Input'!N31,"&gt;=3")+COUNTIF('Change in Means- Data Input'!P31,"&gt;=3")+COUNTIF('Change in Means- Data Input'!R31,"&gt;=3")+COUNTIF('Change in Means- Data Input'!T31,"&gt;=3"))</f>
        <v>NULL</v>
      </c>
      <c r="M24" s="1" t="str">
        <f>IF(Table37[[#This Row],[Pre]]="NULL","NULL",IF(COUNTIF(A24:J24,"&gt;0"),"Yes","No"))</f>
        <v>NULL</v>
      </c>
      <c r="O24" s="91">
        <v>5</v>
      </c>
      <c r="P24" s="89">
        <f>COUNTIF(Table37[Pre],5)</f>
        <v>0</v>
      </c>
      <c r="Q24" s="92" t="e">
        <f>P24/P30</f>
        <v>#DIV/0!</v>
      </c>
      <c r="R24" s="93" t="e">
        <f t="shared" ref="R24:R29" si="2">R23+Q24</f>
        <v>#DIV/0!</v>
      </c>
    </row>
    <row r="25" spans="1:23" x14ac:dyDescent="0.2">
      <c r="A25" s="17" t="e">
        <f>IF(OR(ISBLANK('Change in Means- Data Input'!A32), ISBLANK('Change in Means- Data Input'!B32)),"", 'Change in Means- Data Input'!B32-'Change in Means- Data Input'!A32)</f>
        <v>#VALUE!</v>
      </c>
      <c r="B25" s="1" t="e">
        <f>IF(OR(ISBLANK('Change in Means- Data Input'!C32),ISBLANK('Change in Means- Data Input'!D32)),"",'Change in Means- Data Input'!D32-'Change in Means- Data Input'!C32)</f>
        <v>#VALUE!</v>
      </c>
      <c r="C25" s="1" t="e">
        <f>IF(OR(ISBLANK('Change in Means- Data Input'!E32),ISBLANK('Change in Means- Data Input'!F32)),"",'Change in Means- Data Input'!F32-'Change in Means- Data Input'!E32)</f>
        <v>#VALUE!</v>
      </c>
      <c r="D25" s="1" t="e">
        <f>IF(OR(ISBLANK('Change in Means- Data Input'!G32),ISBLANK('Change in Means- Data Input'!H32)),"",'Change in Means- Data Input'!H32-'Change in Means- Data Input'!G32)</f>
        <v>#VALUE!</v>
      </c>
      <c r="E25" s="1" t="e">
        <f>IF(OR(ISBLANK('Change in Means- Data Input'!I32),ISBLANK('Change in Means- Data Input'!J32)),"",'Change in Means- Data Input'!J32-'Change in Means- Data Input'!I32)</f>
        <v>#VALUE!</v>
      </c>
      <c r="F25" s="1" t="e">
        <f>IF(OR(ISBLANK('Change in Means- Data Input'!K32),ISBLANK('Change in Means- Data Input'!L32)),"",'Change in Means- Data Input'!L32-'Change in Means- Data Input'!K32)</f>
        <v>#VALUE!</v>
      </c>
      <c r="G25" s="17" t="e">
        <f>IF(OR(ISBLANK('Change in Means- Data Input'!M32),ISBLANK('Change in Means- Data Input'!N32)),"",'Change in Means- Data Input'!N32-'Change in Means- Data Input'!M32)</f>
        <v>#VALUE!</v>
      </c>
      <c r="H25" s="17" t="e">
        <f>IF(OR(ISBLANK('Change in Means- Data Input'!O32),ISBLANK('Change in Means- Data Input'!P32)),"",'Change in Means- Data Input'!P32-'Change in Means- Data Input'!O32)</f>
        <v>#VALUE!</v>
      </c>
      <c r="I25" s="17" t="e">
        <f>IF(OR(ISBLANK('Change in Means- Data Input'!Q32),ISBLANK('Change in Means- Data Input'!R32)),"",'Change in Means- Data Input'!R32-'Change in Means- Data Input'!Q32)</f>
        <v>#VALUE!</v>
      </c>
      <c r="J25" s="17" t="e">
        <f>IF(OR(ISBLANK('Change in Means- Data Input'!S32),ISBLANK('Change in Means- Data Input'!T32)),"",'Change in Means- Data Input'!T32-'Change in Means- Data Input'!S32)</f>
        <v>#VALUE!</v>
      </c>
      <c r="K25" s="1" t="str">
        <f>IF('Change in Means- Data Input'!A32="NA","NULL",COUNTIF('Change in Means- Data Input'!A32,"&gt;=3")+COUNTIF('Change in Means- Data Input'!C32,"&gt;=3")+COUNTIF('Change in Means- Data Input'!E32,"&gt;=3")+COUNTIF('Change in Means- Data Input'!G32,"&gt;=3")+COUNTIF('Change in Means- Data Input'!I32,"&gt;=3")+COUNTIF('Change in Means- Data Input'!K32,"&gt;=3")+COUNTIF('Change in Means- Data Input'!M32,"&gt;=3")+COUNTIF('Change in Means- Data Input'!O32,"&gt;=3")+COUNTIF('Change in Means- Data Input'!Q32,"&gt;=3")+COUNTIF('Change in Means- Data Input'!S32,"&gt;=3"))</f>
        <v>NULL</v>
      </c>
      <c r="L25" s="1" t="str">
        <f>IF('Change in Means- Data Input'!B32="NA","NULL",COUNTIF('Change in Means- Data Input'!B32,"&gt;=3")+COUNTIF('Change in Means- Data Input'!D32,"&gt;=3")+COUNTIF('Change in Means- Data Input'!F32,"&gt;=3")+COUNTIF('Change in Means- Data Input'!H32,"&gt;=3")+COUNTIF('Change in Means- Data Input'!J32,"&gt;=3")+COUNTIF('Change in Means- Data Input'!L32,"&gt;=3")+COUNTIF('Change in Means- Data Input'!N32,"&gt;=3")+COUNTIF('Change in Means- Data Input'!P32,"&gt;=3")+COUNTIF('Change in Means- Data Input'!R32,"&gt;=3")+COUNTIF('Change in Means- Data Input'!T32,"&gt;=3"))</f>
        <v>NULL</v>
      </c>
      <c r="M25" s="1" t="str">
        <f>IF(Table37[[#This Row],[Pre]]="NULL","NULL",IF(COUNTIF(A25:J25,"&gt;0"),"Yes","No"))</f>
        <v>NULL</v>
      </c>
      <c r="O25" s="91">
        <v>4</v>
      </c>
      <c r="P25" s="89">
        <f>COUNTIF(Table37[Pre],4)</f>
        <v>0</v>
      </c>
      <c r="Q25" s="92" t="e">
        <f>P25/P30</f>
        <v>#DIV/0!</v>
      </c>
      <c r="R25" s="93" t="e">
        <f t="shared" si="2"/>
        <v>#DIV/0!</v>
      </c>
    </row>
    <row r="26" spans="1:23" x14ac:dyDescent="0.2">
      <c r="A26" s="17" t="e">
        <f>IF(OR(ISBLANK('Change in Means- Data Input'!A33), ISBLANK('Change in Means- Data Input'!B33)),"", 'Change in Means- Data Input'!B33-'Change in Means- Data Input'!A33)</f>
        <v>#VALUE!</v>
      </c>
      <c r="B26" s="1" t="e">
        <f>IF(OR(ISBLANK('Change in Means- Data Input'!C33),ISBLANK('Change in Means- Data Input'!D33)),"",'Change in Means- Data Input'!D33-'Change in Means- Data Input'!C33)</f>
        <v>#VALUE!</v>
      </c>
      <c r="C26" s="1" t="e">
        <f>IF(OR(ISBLANK('Change in Means- Data Input'!E33),ISBLANK('Change in Means- Data Input'!F33)),"",'Change in Means- Data Input'!F33-'Change in Means- Data Input'!E33)</f>
        <v>#VALUE!</v>
      </c>
      <c r="D26" s="1" t="e">
        <f>IF(OR(ISBLANK('Change in Means- Data Input'!G33),ISBLANK('Change in Means- Data Input'!H33)),"",'Change in Means- Data Input'!H33-'Change in Means- Data Input'!G33)</f>
        <v>#VALUE!</v>
      </c>
      <c r="E26" s="1" t="e">
        <f>IF(OR(ISBLANK('Change in Means- Data Input'!I33),ISBLANK('Change in Means- Data Input'!J33)),"",'Change in Means- Data Input'!J33-'Change in Means- Data Input'!I33)</f>
        <v>#VALUE!</v>
      </c>
      <c r="F26" s="1" t="e">
        <f>IF(OR(ISBLANK('Change in Means- Data Input'!K33),ISBLANK('Change in Means- Data Input'!L33)),"",'Change in Means- Data Input'!L33-'Change in Means- Data Input'!K33)</f>
        <v>#VALUE!</v>
      </c>
      <c r="G26" s="17" t="e">
        <f>IF(OR(ISBLANK('Change in Means- Data Input'!M33),ISBLANK('Change in Means- Data Input'!N33)),"",'Change in Means- Data Input'!N33-'Change in Means- Data Input'!M33)</f>
        <v>#VALUE!</v>
      </c>
      <c r="H26" s="17" t="e">
        <f>IF(OR(ISBLANK('Change in Means- Data Input'!O33),ISBLANK('Change in Means- Data Input'!P33)),"",'Change in Means- Data Input'!P33-'Change in Means- Data Input'!O33)</f>
        <v>#VALUE!</v>
      </c>
      <c r="I26" s="17" t="e">
        <f>IF(OR(ISBLANK('Change in Means- Data Input'!Q33),ISBLANK('Change in Means- Data Input'!R33)),"",'Change in Means- Data Input'!R33-'Change in Means- Data Input'!Q33)</f>
        <v>#VALUE!</v>
      </c>
      <c r="J26" s="17" t="e">
        <f>IF(OR(ISBLANK('Change in Means- Data Input'!S33),ISBLANK('Change in Means- Data Input'!T33)),"",'Change in Means- Data Input'!T33-'Change in Means- Data Input'!S33)</f>
        <v>#VALUE!</v>
      </c>
      <c r="K26" s="1" t="str">
        <f>IF('Change in Means- Data Input'!A33="NA","NULL",COUNTIF('Change in Means- Data Input'!A33,"&gt;=3")+COUNTIF('Change in Means- Data Input'!C33,"&gt;=3")+COUNTIF('Change in Means- Data Input'!E33,"&gt;=3")+COUNTIF('Change in Means- Data Input'!G33,"&gt;=3")+COUNTIF('Change in Means- Data Input'!I33,"&gt;=3")+COUNTIF('Change in Means- Data Input'!K33,"&gt;=3")+COUNTIF('Change in Means- Data Input'!M33,"&gt;=3")+COUNTIF('Change in Means- Data Input'!O33,"&gt;=3")+COUNTIF('Change in Means- Data Input'!Q33,"&gt;=3")+COUNTIF('Change in Means- Data Input'!S33,"&gt;=3"))</f>
        <v>NULL</v>
      </c>
      <c r="L26" s="1" t="str">
        <f>IF('Change in Means- Data Input'!B33="NA","NULL",COUNTIF('Change in Means- Data Input'!B33,"&gt;=3")+COUNTIF('Change in Means- Data Input'!D33,"&gt;=3")+COUNTIF('Change in Means- Data Input'!F33,"&gt;=3")+COUNTIF('Change in Means- Data Input'!H33,"&gt;=3")+COUNTIF('Change in Means- Data Input'!J33,"&gt;=3")+COUNTIF('Change in Means- Data Input'!L33,"&gt;=3")+COUNTIF('Change in Means- Data Input'!N33,"&gt;=3")+COUNTIF('Change in Means- Data Input'!P33,"&gt;=3")+COUNTIF('Change in Means- Data Input'!R33,"&gt;=3")+COUNTIF('Change in Means- Data Input'!T33,"&gt;=3"))</f>
        <v>NULL</v>
      </c>
      <c r="M26" s="1" t="str">
        <f>IF(Table37[[#This Row],[Pre]]="NULL","NULL",IF(COUNTIF(A26:J26,"&gt;0"),"Yes","No"))</f>
        <v>NULL</v>
      </c>
      <c r="O26" s="91">
        <v>3</v>
      </c>
      <c r="P26" s="89">
        <f>COUNTIF(Table37[Pre],3)</f>
        <v>0</v>
      </c>
      <c r="Q26" s="92" t="e">
        <f>P26/P30</f>
        <v>#DIV/0!</v>
      </c>
      <c r="R26" s="93" t="e">
        <f t="shared" si="2"/>
        <v>#DIV/0!</v>
      </c>
    </row>
    <row r="27" spans="1:23" x14ac:dyDescent="0.2">
      <c r="A27" s="17" t="e">
        <f>IF(OR(ISBLANK('Change in Means- Data Input'!A34), ISBLANK('Change in Means- Data Input'!B34)),"", 'Change in Means- Data Input'!B34-'Change in Means- Data Input'!A34)</f>
        <v>#VALUE!</v>
      </c>
      <c r="B27" s="1" t="e">
        <f>IF(OR(ISBLANK('Change in Means- Data Input'!C34),ISBLANK('Change in Means- Data Input'!D34)),"",'Change in Means- Data Input'!D34-'Change in Means- Data Input'!C34)</f>
        <v>#VALUE!</v>
      </c>
      <c r="C27" s="1" t="e">
        <f>IF(OR(ISBLANK('Change in Means- Data Input'!E34),ISBLANK('Change in Means- Data Input'!F34)),"",'Change in Means- Data Input'!F34-'Change in Means- Data Input'!E34)</f>
        <v>#VALUE!</v>
      </c>
      <c r="D27" s="1" t="e">
        <f>IF(OR(ISBLANK('Change in Means- Data Input'!G34),ISBLANK('Change in Means- Data Input'!H34)),"",'Change in Means- Data Input'!H34-'Change in Means- Data Input'!G34)</f>
        <v>#VALUE!</v>
      </c>
      <c r="E27" s="1" t="e">
        <f>IF(OR(ISBLANK('Change in Means- Data Input'!I34),ISBLANK('Change in Means- Data Input'!J34)),"",'Change in Means- Data Input'!J34-'Change in Means- Data Input'!I34)</f>
        <v>#VALUE!</v>
      </c>
      <c r="F27" s="1" t="e">
        <f>IF(OR(ISBLANK('Change in Means- Data Input'!K34),ISBLANK('Change in Means- Data Input'!L34)),"",'Change in Means- Data Input'!L34-'Change in Means- Data Input'!K34)</f>
        <v>#VALUE!</v>
      </c>
      <c r="G27" s="17" t="e">
        <f>IF(OR(ISBLANK('Change in Means- Data Input'!M34),ISBLANK('Change in Means- Data Input'!N34)),"",'Change in Means- Data Input'!N34-'Change in Means- Data Input'!M34)</f>
        <v>#VALUE!</v>
      </c>
      <c r="H27" s="17" t="e">
        <f>IF(OR(ISBLANK('Change in Means- Data Input'!O34),ISBLANK('Change in Means- Data Input'!P34)),"",'Change in Means- Data Input'!P34-'Change in Means- Data Input'!O34)</f>
        <v>#VALUE!</v>
      </c>
      <c r="I27" s="17" t="e">
        <f>IF(OR(ISBLANK('Change in Means- Data Input'!Q34),ISBLANK('Change in Means- Data Input'!R34)),"",'Change in Means- Data Input'!R34-'Change in Means- Data Input'!Q34)</f>
        <v>#VALUE!</v>
      </c>
      <c r="J27" s="17" t="e">
        <f>IF(OR(ISBLANK('Change in Means- Data Input'!S34),ISBLANK('Change in Means- Data Input'!T34)),"",'Change in Means- Data Input'!T34-'Change in Means- Data Input'!S34)</f>
        <v>#VALUE!</v>
      </c>
      <c r="K27" s="1" t="str">
        <f>IF('Change in Means- Data Input'!A34="NA","NULL",COUNTIF('Change in Means- Data Input'!A34,"&gt;=3")+COUNTIF('Change in Means- Data Input'!C34,"&gt;=3")+COUNTIF('Change in Means- Data Input'!E34,"&gt;=3")+COUNTIF('Change in Means- Data Input'!G34,"&gt;=3")+COUNTIF('Change in Means- Data Input'!I34,"&gt;=3")+COUNTIF('Change in Means- Data Input'!K34,"&gt;=3")+COUNTIF('Change in Means- Data Input'!M34,"&gt;=3")+COUNTIF('Change in Means- Data Input'!O34,"&gt;=3")+COUNTIF('Change in Means- Data Input'!Q34,"&gt;=3")+COUNTIF('Change in Means- Data Input'!S34,"&gt;=3"))</f>
        <v>NULL</v>
      </c>
      <c r="L27" s="1" t="str">
        <f>IF('Change in Means- Data Input'!B34="NA","NULL",COUNTIF('Change in Means- Data Input'!B34,"&gt;=3")+COUNTIF('Change in Means- Data Input'!D34,"&gt;=3")+COUNTIF('Change in Means- Data Input'!F34,"&gt;=3")+COUNTIF('Change in Means- Data Input'!H34,"&gt;=3")+COUNTIF('Change in Means- Data Input'!J34,"&gt;=3")+COUNTIF('Change in Means- Data Input'!L34,"&gt;=3")+COUNTIF('Change in Means- Data Input'!N34,"&gt;=3")+COUNTIF('Change in Means- Data Input'!P34,"&gt;=3")+COUNTIF('Change in Means- Data Input'!R34,"&gt;=3")+COUNTIF('Change in Means- Data Input'!T34,"&gt;=3"))</f>
        <v>NULL</v>
      </c>
      <c r="M27" s="1" t="str">
        <f>IF(Table37[[#This Row],[Pre]]="NULL","NULL",IF(COUNTIF(A27:J27,"&gt;0"),"Yes","No"))</f>
        <v>NULL</v>
      </c>
      <c r="O27" s="91">
        <v>2</v>
      </c>
      <c r="P27" s="89">
        <f>COUNTIF(Table37[Pre],2)</f>
        <v>0</v>
      </c>
      <c r="Q27" s="92" t="e">
        <f>P27/P30</f>
        <v>#DIV/0!</v>
      </c>
      <c r="R27" s="93" t="e">
        <f t="shared" si="2"/>
        <v>#DIV/0!</v>
      </c>
    </row>
    <row r="28" spans="1:23" x14ac:dyDescent="0.2">
      <c r="A28" s="17" t="e">
        <f>IF(OR(ISBLANK('Change in Means- Data Input'!A35), ISBLANK('Change in Means- Data Input'!B35)),"", 'Change in Means- Data Input'!B35-'Change in Means- Data Input'!A35)</f>
        <v>#VALUE!</v>
      </c>
      <c r="B28" s="1" t="e">
        <f>IF(OR(ISBLANK('Change in Means- Data Input'!C35),ISBLANK('Change in Means- Data Input'!D35)),"",'Change in Means- Data Input'!D35-'Change in Means- Data Input'!C35)</f>
        <v>#VALUE!</v>
      </c>
      <c r="C28" s="1" t="e">
        <f>IF(OR(ISBLANK('Change in Means- Data Input'!E35),ISBLANK('Change in Means- Data Input'!F35)),"",'Change in Means- Data Input'!F35-'Change in Means- Data Input'!E35)</f>
        <v>#VALUE!</v>
      </c>
      <c r="D28" s="1" t="e">
        <f>IF(OR(ISBLANK('Change in Means- Data Input'!G35),ISBLANK('Change in Means- Data Input'!H35)),"",'Change in Means- Data Input'!H35-'Change in Means- Data Input'!G35)</f>
        <v>#VALUE!</v>
      </c>
      <c r="E28" s="1" t="e">
        <f>IF(OR(ISBLANK('Change in Means- Data Input'!I35),ISBLANK('Change in Means- Data Input'!J35)),"",'Change in Means- Data Input'!J35-'Change in Means- Data Input'!I35)</f>
        <v>#VALUE!</v>
      </c>
      <c r="F28" s="1" t="e">
        <f>IF(OR(ISBLANK('Change in Means- Data Input'!K35),ISBLANK('Change in Means- Data Input'!L35)),"",'Change in Means- Data Input'!L35-'Change in Means- Data Input'!K35)</f>
        <v>#VALUE!</v>
      </c>
      <c r="G28" s="17" t="e">
        <f>IF(OR(ISBLANK('Change in Means- Data Input'!M35),ISBLANK('Change in Means- Data Input'!N35)),"",'Change in Means- Data Input'!N35-'Change in Means- Data Input'!M35)</f>
        <v>#VALUE!</v>
      </c>
      <c r="H28" s="17" t="e">
        <f>IF(OR(ISBLANK('Change in Means- Data Input'!O35),ISBLANK('Change in Means- Data Input'!P35)),"",'Change in Means- Data Input'!P35-'Change in Means- Data Input'!O35)</f>
        <v>#VALUE!</v>
      </c>
      <c r="I28" s="17" t="e">
        <f>IF(OR(ISBLANK('Change in Means- Data Input'!Q35),ISBLANK('Change in Means- Data Input'!R35)),"",'Change in Means- Data Input'!R35-'Change in Means- Data Input'!Q35)</f>
        <v>#VALUE!</v>
      </c>
      <c r="J28" s="17" t="e">
        <f>IF(OR(ISBLANK('Change in Means- Data Input'!S35),ISBLANK('Change in Means- Data Input'!T35)),"",'Change in Means- Data Input'!T35-'Change in Means- Data Input'!S35)</f>
        <v>#VALUE!</v>
      </c>
      <c r="K28" s="1" t="str">
        <f>IF('Change in Means- Data Input'!A35="NA","NULL",COUNTIF('Change in Means- Data Input'!A35,"&gt;=3")+COUNTIF('Change in Means- Data Input'!C35,"&gt;=3")+COUNTIF('Change in Means- Data Input'!E35,"&gt;=3")+COUNTIF('Change in Means- Data Input'!G35,"&gt;=3")+COUNTIF('Change in Means- Data Input'!I35,"&gt;=3")+COUNTIF('Change in Means- Data Input'!K35,"&gt;=3")+COUNTIF('Change in Means- Data Input'!M35,"&gt;=3")+COUNTIF('Change in Means- Data Input'!O35,"&gt;=3")+COUNTIF('Change in Means- Data Input'!Q35,"&gt;=3")+COUNTIF('Change in Means- Data Input'!S35,"&gt;=3"))</f>
        <v>NULL</v>
      </c>
      <c r="L28" s="1" t="str">
        <f>IF('Change in Means- Data Input'!B35="NA","NULL",COUNTIF('Change in Means- Data Input'!B35,"&gt;=3")+COUNTIF('Change in Means- Data Input'!D35,"&gt;=3")+COUNTIF('Change in Means- Data Input'!F35,"&gt;=3")+COUNTIF('Change in Means- Data Input'!H35,"&gt;=3")+COUNTIF('Change in Means- Data Input'!J35,"&gt;=3")+COUNTIF('Change in Means- Data Input'!L35,"&gt;=3")+COUNTIF('Change in Means- Data Input'!N35,"&gt;=3")+COUNTIF('Change in Means- Data Input'!P35,"&gt;=3")+COUNTIF('Change in Means- Data Input'!R35,"&gt;=3")+COUNTIF('Change in Means- Data Input'!T35,"&gt;=3"))</f>
        <v>NULL</v>
      </c>
      <c r="M28" s="1" t="str">
        <f>IF(Table37[[#This Row],[Pre]]="NULL","NULL",IF(COUNTIF(A28:J28,"&gt;0"),"Yes","No"))</f>
        <v>NULL</v>
      </c>
      <c r="O28" s="91">
        <v>1</v>
      </c>
      <c r="P28" s="89">
        <f>COUNTIF(Table37[Pre],1)</f>
        <v>0</v>
      </c>
      <c r="Q28" s="92" t="e">
        <f>P28/P30</f>
        <v>#DIV/0!</v>
      </c>
      <c r="R28" s="93" t="e">
        <f t="shared" si="2"/>
        <v>#DIV/0!</v>
      </c>
    </row>
    <row r="29" spans="1:23" x14ac:dyDescent="0.2">
      <c r="A29" s="17" t="e">
        <f>IF(OR(ISBLANK('Change in Means- Data Input'!A36), ISBLANK('Change in Means- Data Input'!B36)),"", 'Change in Means- Data Input'!B36-'Change in Means- Data Input'!A36)</f>
        <v>#VALUE!</v>
      </c>
      <c r="B29" s="1" t="e">
        <f>IF(OR(ISBLANK('Change in Means- Data Input'!C36),ISBLANK('Change in Means- Data Input'!D36)),"",'Change in Means- Data Input'!D36-'Change in Means- Data Input'!C36)</f>
        <v>#VALUE!</v>
      </c>
      <c r="C29" s="1" t="e">
        <f>IF(OR(ISBLANK('Change in Means- Data Input'!E36),ISBLANK('Change in Means- Data Input'!F36)),"",'Change in Means- Data Input'!F36-'Change in Means- Data Input'!E36)</f>
        <v>#VALUE!</v>
      </c>
      <c r="D29" s="1" t="e">
        <f>IF(OR(ISBLANK('Change in Means- Data Input'!G36),ISBLANK('Change in Means- Data Input'!H36)),"",'Change in Means- Data Input'!H36-'Change in Means- Data Input'!G36)</f>
        <v>#VALUE!</v>
      </c>
      <c r="E29" s="1" t="e">
        <f>IF(OR(ISBLANK('Change in Means- Data Input'!I36),ISBLANK('Change in Means- Data Input'!J36)),"",'Change in Means- Data Input'!J36-'Change in Means- Data Input'!I36)</f>
        <v>#VALUE!</v>
      </c>
      <c r="F29" s="1" t="e">
        <f>IF(OR(ISBLANK('Change in Means- Data Input'!K36),ISBLANK('Change in Means- Data Input'!L36)),"",'Change in Means- Data Input'!L36-'Change in Means- Data Input'!K36)</f>
        <v>#VALUE!</v>
      </c>
      <c r="G29" s="17" t="e">
        <f>IF(OR(ISBLANK('Change in Means- Data Input'!M36),ISBLANK('Change in Means- Data Input'!N36)),"",'Change in Means- Data Input'!N36-'Change in Means- Data Input'!M36)</f>
        <v>#VALUE!</v>
      </c>
      <c r="H29" s="17" t="e">
        <f>IF(OR(ISBLANK('Change in Means- Data Input'!O36),ISBLANK('Change in Means- Data Input'!P36)),"",'Change in Means- Data Input'!P36-'Change in Means- Data Input'!O36)</f>
        <v>#VALUE!</v>
      </c>
      <c r="I29" s="17" t="e">
        <f>IF(OR(ISBLANK('Change in Means- Data Input'!Q36),ISBLANK('Change in Means- Data Input'!R36)),"",'Change in Means- Data Input'!R36-'Change in Means- Data Input'!Q36)</f>
        <v>#VALUE!</v>
      </c>
      <c r="J29" s="17" t="e">
        <f>IF(OR(ISBLANK('Change in Means- Data Input'!S36),ISBLANK('Change in Means- Data Input'!T36)),"",'Change in Means- Data Input'!T36-'Change in Means- Data Input'!S36)</f>
        <v>#VALUE!</v>
      </c>
      <c r="K29" s="1" t="str">
        <f>IF('Change in Means- Data Input'!A36="NA","NULL",COUNTIF('Change in Means- Data Input'!A36,"&gt;=3")+COUNTIF('Change in Means- Data Input'!C36,"&gt;=3")+COUNTIF('Change in Means- Data Input'!E36,"&gt;=3")+COUNTIF('Change in Means- Data Input'!G36,"&gt;=3")+COUNTIF('Change in Means- Data Input'!I36,"&gt;=3")+COUNTIF('Change in Means- Data Input'!K36,"&gt;=3")+COUNTIF('Change in Means- Data Input'!M36,"&gt;=3")+COUNTIF('Change in Means- Data Input'!O36,"&gt;=3")+COUNTIF('Change in Means- Data Input'!Q36,"&gt;=3")+COUNTIF('Change in Means- Data Input'!S36,"&gt;=3"))</f>
        <v>NULL</v>
      </c>
      <c r="L29" s="1" t="str">
        <f>IF('Change in Means- Data Input'!B36="NA","NULL",COUNTIF('Change in Means- Data Input'!B36,"&gt;=3")+COUNTIF('Change in Means- Data Input'!D36,"&gt;=3")+COUNTIF('Change in Means- Data Input'!F36,"&gt;=3")+COUNTIF('Change in Means- Data Input'!H36,"&gt;=3")+COUNTIF('Change in Means- Data Input'!J36,"&gt;=3")+COUNTIF('Change in Means- Data Input'!L36,"&gt;=3")+COUNTIF('Change in Means- Data Input'!N36,"&gt;=3")+COUNTIF('Change in Means- Data Input'!P36,"&gt;=3")+COUNTIF('Change in Means- Data Input'!R36,"&gt;=3")+COUNTIF('Change in Means- Data Input'!T36,"&gt;=3"))</f>
        <v>NULL</v>
      </c>
      <c r="M29" s="1" t="str">
        <f>IF(Table37[[#This Row],[Pre]]="NULL","NULL",IF(COUNTIF(A29:J29,"&gt;0"),"Yes","No"))</f>
        <v>NULL</v>
      </c>
      <c r="O29" s="91">
        <v>0</v>
      </c>
      <c r="P29" s="89">
        <f>COUNTIF(Table37[Pre],0)</f>
        <v>0</v>
      </c>
      <c r="Q29" s="92" t="e">
        <f>P29/P30</f>
        <v>#DIV/0!</v>
      </c>
      <c r="R29" s="93" t="e">
        <f t="shared" si="2"/>
        <v>#DIV/0!</v>
      </c>
    </row>
    <row r="30" spans="1:23" x14ac:dyDescent="0.2">
      <c r="A30" s="17" t="e">
        <f>IF(OR(ISBLANK('Change in Means- Data Input'!A37), ISBLANK('Change in Means- Data Input'!B37)),"", 'Change in Means- Data Input'!B37-'Change in Means- Data Input'!A37)</f>
        <v>#VALUE!</v>
      </c>
      <c r="B30" s="1" t="e">
        <f>IF(OR(ISBLANK('Change in Means- Data Input'!C37),ISBLANK('Change in Means- Data Input'!D37)),"",'Change in Means- Data Input'!D37-'Change in Means- Data Input'!C37)</f>
        <v>#VALUE!</v>
      </c>
      <c r="C30" s="1" t="e">
        <f>IF(OR(ISBLANK('Change in Means- Data Input'!E37),ISBLANK('Change in Means- Data Input'!F37)),"",'Change in Means- Data Input'!F37-'Change in Means- Data Input'!E37)</f>
        <v>#VALUE!</v>
      </c>
      <c r="D30" s="1" t="e">
        <f>IF(OR(ISBLANK('Change in Means- Data Input'!G37),ISBLANK('Change in Means- Data Input'!H37)),"",'Change in Means- Data Input'!H37-'Change in Means- Data Input'!G37)</f>
        <v>#VALUE!</v>
      </c>
      <c r="E30" s="1" t="e">
        <f>IF(OR(ISBLANK('Change in Means- Data Input'!I37),ISBLANK('Change in Means- Data Input'!J37)),"",'Change in Means- Data Input'!J37-'Change in Means- Data Input'!I37)</f>
        <v>#VALUE!</v>
      </c>
      <c r="F30" s="1" t="e">
        <f>IF(OR(ISBLANK('Change in Means- Data Input'!K37),ISBLANK('Change in Means- Data Input'!L37)),"",'Change in Means- Data Input'!L37-'Change in Means- Data Input'!K37)</f>
        <v>#VALUE!</v>
      </c>
      <c r="G30" s="17" t="e">
        <f>IF(OR(ISBLANK('Change in Means- Data Input'!M37),ISBLANK('Change in Means- Data Input'!N37)),"",'Change in Means- Data Input'!N37-'Change in Means- Data Input'!M37)</f>
        <v>#VALUE!</v>
      </c>
      <c r="H30" s="17" t="e">
        <f>IF(OR(ISBLANK('Change in Means- Data Input'!O37),ISBLANK('Change in Means- Data Input'!P37)),"",'Change in Means- Data Input'!P37-'Change in Means- Data Input'!O37)</f>
        <v>#VALUE!</v>
      </c>
      <c r="I30" s="17" t="e">
        <f>IF(OR(ISBLANK('Change in Means- Data Input'!Q37),ISBLANK('Change in Means- Data Input'!R37)),"",'Change in Means- Data Input'!R37-'Change in Means- Data Input'!Q37)</f>
        <v>#VALUE!</v>
      </c>
      <c r="J30" s="17" t="e">
        <f>IF(OR(ISBLANK('Change in Means- Data Input'!S37),ISBLANK('Change in Means- Data Input'!T37)),"",'Change in Means- Data Input'!T37-'Change in Means- Data Input'!S37)</f>
        <v>#VALUE!</v>
      </c>
      <c r="K30" s="1" t="str">
        <f>IF('Change in Means- Data Input'!A37="NA","NULL",COUNTIF('Change in Means- Data Input'!A37,"&gt;=3")+COUNTIF('Change in Means- Data Input'!C37,"&gt;=3")+COUNTIF('Change in Means- Data Input'!E37,"&gt;=3")+COUNTIF('Change in Means- Data Input'!G37,"&gt;=3")+COUNTIF('Change in Means- Data Input'!I37,"&gt;=3")+COUNTIF('Change in Means- Data Input'!K37,"&gt;=3")+COUNTIF('Change in Means- Data Input'!M37,"&gt;=3")+COUNTIF('Change in Means- Data Input'!O37,"&gt;=3")+COUNTIF('Change in Means- Data Input'!Q37,"&gt;=3")+COUNTIF('Change in Means- Data Input'!S37,"&gt;=3"))</f>
        <v>NULL</v>
      </c>
      <c r="L30" s="1" t="str">
        <f>IF('Change in Means- Data Input'!B37="NA","NULL",COUNTIF('Change in Means- Data Input'!B37,"&gt;=3")+COUNTIF('Change in Means- Data Input'!D37,"&gt;=3")+COUNTIF('Change in Means- Data Input'!F37,"&gt;=3")+COUNTIF('Change in Means- Data Input'!H37,"&gt;=3")+COUNTIF('Change in Means- Data Input'!J37,"&gt;=3")+COUNTIF('Change in Means- Data Input'!L37,"&gt;=3")+COUNTIF('Change in Means- Data Input'!N37,"&gt;=3")+COUNTIF('Change in Means- Data Input'!P37,"&gt;=3")+COUNTIF('Change in Means- Data Input'!R37,"&gt;=3")+COUNTIF('Change in Means- Data Input'!T37,"&gt;=3"))</f>
        <v>NULL</v>
      </c>
      <c r="M30" s="1" t="str">
        <f>IF(Table37[[#This Row],[Pre]]="NULL","NULL",IF(COUNTIF(A30:J30,"&gt;0"),"Yes","No"))</f>
        <v>NULL</v>
      </c>
      <c r="O30" s="89" t="s">
        <v>55</v>
      </c>
      <c r="P30" s="89">
        <f>SUM(P19:P29)</f>
        <v>0</v>
      </c>
      <c r="Q30" s="92" t="e">
        <f>SUM(Q23:Q29)</f>
        <v>#DIV/0!</v>
      </c>
      <c r="R30" s="159"/>
    </row>
    <row r="31" spans="1:23" x14ac:dyDescent="0.2">
      <c r="A31" s="17" t="e">
        <f>IF(OR(ISBLANK('Change in Means- Data Input'!A38), ISBLANK('Change in Means- Data Input'!B38)),"", 'Change in Means- Data Input'!B38-'Change in Means- Data Input'!A38)</f>
        <v>#VALUE!</v>
      </c>
      <c r="B31" s="1" t="e">
        <f>IF(OR(ISBLANK('Change in Means- Data Input'!C38),ISBLANK('Change in Means- Data Input'!D38)),"",'Change in Means- Data Input'!D38-'Change in Means- Data Input'!C38)</f>
        <v>#VALUE!</v>
      </c>
      <c r="C31" s="1" t="e">
        <f>IF(OR(ISBLANK('Change in Means- Data Input'!E38),ISBLANK('Change in Means- Data Input'!F38)),"",'Change in Means- Data Input'!F38-'Change in Means- Data Input'!E38)</f>
        <v>#VALUE!</v>
      </c>
      <c r="D31" s="1" t="e">
        <f>IF(OR(ISBLANK('Change in Means- Data Input'!G38),ISBLANK('Change in Means- Data Input'!H38)),"",'Change in Means- Data Input'!H38-'Change in Means- Data Input'!G38)</f>
        <v>#VALUE!</v>
      </c>
      <c r="E31" s="1" t="e">
        <f>IF(OR(ISBLANK('Change in Means- Data Input'!I38),ISBLANK('Change in Means- Data Input'!J38)),"",'Change in Means- Data Input'!J38-'Change in Means- Data Input'!I38)</f>
        <v>#VALUE!</v>
      </c>
      <c r="F31" s="1" t="e">
        <f>IF(OR(ISBLANK('Change in Means- Data Input'!K38),ISBLANK('Change in Means- Data Input'!L38)),"",'Change in Means- Data Input'!L38-'Change in Means- Data Input'!K38)</f>
        <v>#VALUE!</v>
      </c>
      <c r="G31" s="17" t="e">
        <f>IF(OR(ISBLANK('Change in Means- Data Input'!M38),ISBLANK('Change in Means- Data Input'!N38)),"",'Change in Means- Data Input'!N38-'Change in Means- Data Input'!M38)</f>
        <v>#VALUE!</v>
      </c>
      <c r="H31" s="17" t="e">
        <f>IF(OR(ISBLANK('Change in Means- Data Input'!O38),ISBLANK('Change in Means- Data Input'!P38)),"",'Change in Means- Data Input'!P38-'Change in Means- Data Input'!O38)</f>
        <v>#VALUE!</v>
      </c>
      <c r="I31" s="17" t="e">
        <f>IF(OR(ISBLANK('Change in Means- Data Input'!Q38),ISBLANK('Change in Means- Data Input'!R38)),"",'Change in Means- Data Input'!R38-'Change in Means- Data Input'!Q38)</f>
        <v>#VALUE!</v>
      </c>
      <c r="J31" s="17" t="e">
        <f>IF(OR(ISBLANK('Change in Means- Data Input'!S38),ISBLANK('Change in Means- Data Input'!T38)),"",'Change in Means- Data Input'!T38-'Change in Means- Data Input'!S38)</f>
        <v>#VALUE!</v>
      </c>
      <c r="K31" s="1" t="str">
        <f>IF('Change in Means- Data Input'!A38="NA","NULL",COUNTIF('Change in Means- Data Input'!A38,"&gt;=3")+COUNTIF('Change in Means- Data Input'!C38,"&gt;=3")+COUNTIF('Change in Means- Data Input'!E38,"&gt;=3")+COUNTIF('Change in Means- Data Input'!G38,"&gt;=3")+COUNTIF('Change in Means- Data Input'!I38,"&gt;=3")+COUNTIF('Change in Means- Data Input'!K38,"&gt;=3")+COUNTIF('Change in Means- Data Input'!M38,"&gt;=3")+COUNTIF('Change in Means- Data Input'!O38,"&gt;=3")+COUNTIF('Change in Means- Data Input'!Q38,"&gt;=3")+COUNTIF('Change in Means- Data Input'!S38,"&gt;=3"))</f>
        <v>NULL</v>
      </c>
      <c r="L31" s="1" t="str">
        <f>IF('Change in Means- Data Input'!B38="NA","NULL",COUNTIF('Change in Means- Data Input'!B38,"&gt;=3")+COUNTIF('Change in Means- Data Input'!D38,"&gt;=3")+COUNTIF('Change in Means- Data Input'!F38,"&gt;=3")+COUNTIF('Change in Means- Data Input'!H38,"&gt;=3")+COUNTIF('Change in Means- Data Input'!J38,"&gt;=3")+COUNTIF('Change in Means- Data Input'!L38,"&gt;=3")+COUNTIF('Change in Means- Data Input'!N38,"&gt;=3")+COUNTIF('Change in Means- Data Input'!P38,"&gt;=3")+COUNTIF('Change in Means- Data Input'!R38,"&gt;=3")+COUNTIF('Change in Means- Data Input'!T38,"&gt;=3"))</f>
        <v>NULL</v>
      </c>
      <c r="M31" s="1" t="str">
        <f>IF(Table37[[#This Row],[Pre]]="NULL","NULL",IF(COUNTIF(A31:J31,"&gt;0"),"Yes","No"))</f>
        <v>NULL</v>
      </c>
    </row>
    <row r="32" spans="1:23" x14ac:dyDescent="0.2">
      <c r="A32" s="17" t="e">
        <f>IF(OR(ISBLANK('Change in Means- Data Input'!A39), ISBLANK('Change in Means- Data Input'!B39)),"", 'Change in Means- Data Input'!B39-'Change in Means- Data Input'!A39)</f>
        <v>#VALUE!</v>
      </c>
      <c r="B32" s="1" t="e">
        <f>IF(OR(ISBLANK('Change in Means- Data Input'!C39),ISBLANK('Change in Means- Data Input'!D39)),"",'Change in Means- Data Input'!D39-'Change in Means- Data Input'!C39)</f>
        <v>#VALUE!</v>
      </c>
      <c r="C32" s="1" t="e">
        <f>IF(OR(ISBLANK('Change in Means- Data Input'!E39),ISBLANK('Change in Means- Data Input'!F39)),"",'Change in Means- Data Input'!F39-'Change in Means- Data Input'!E39)</f>
        <v>#VALUE!</v>
      </c>
      <c r="D32" s="1" t="e">
        <f>IF(OR(ISBLANK('Change in Means- Data Input'!G39),ISBLANK('Change in Means- Data Input'!H39)),"",'Change in Means- Data Input'!H39-'Change in Means- Data Input'!G39)</f>
        <v>#VALUE!</v>
      </c>
      <c r="E32" s="1" t="e">
        <f>IF(OR(ISBLANK('Change in Means- Data Input'!I39),ISBLANK('Change in Means- Data Input'!J39)),"",'Change in Means- Data Input'!J39-'Change in Means- Data Input'!I39)</f>
        <v>#VALUE!</v>
      </c>
      <c r="F32" s="1" t="e">
        <f>IF(OR(ISBLANK('Change in Means- Data Input'!K39),ISBLANK('Change in Means- Data Input'!L39)),"",'Change in Means- Data Input'!L39-'Change in Means- Data Input'!K39)</f>
        <v>#VALUE!</v>
      </c>
      <c r="G32" s="17" t="e">
        <f>IF(OR(ISBLANK('Change in Means- Data Input'!M39),ISBLANK('Change in Means- Data Input'!N39)),"",'Change in Means- Data Input'!N39-'Change in Means- Data Input'!M39)</f>
        <v>#VALUE!</v>
      </c>
      <c r="H32" s="17" t="e">
        <f>IF(OR(ISBLANK('Change in Means- Data Input'!O39),ISBLANK('Change in Means- Data Input'!P39)),"",'Change in Means- Data Input'!P39-'Change in Means- Data Input'!O39)</f>
        <v>#VALUE!</v>
      </c>
      <c r="I32" s="17" t="e">
        <f>IF(OR(ISBLANK('Change in Means- Data Input'!Q39),ISBLANK('Change in Means- Data Input'!R39)),"",'Change in Means- Data Input'!R39-'Change in Means- Data Input'!Q39)</f>
        <v>#VALUE!</v>
      </c>
      <c r="J32" s="17" t="e">
        <f>IF(OR(ISBLANK('Change in Means- Data Input'!S39),ISBLANK('Change in Means- Data Input'!T39)),"",'Change in Means- Data Input'!T39-'Change in Means- Data Input'!S39)</f>
        <v>#VALUE!</v>
      </c>
      <c r="K32" s="1" t="str">
        <f>IF('Change in Means- Data Input'!A39="NA","NULL",COUNTIF('Change in Means- Data Input'!A39,"&gt;=3")+COUNTIF('Change in Means- Data Input'!C39,"&gt;=3")+COUNTIF('Change in Means- Data Input'!E39,"&gt;=3")+COUNTIF('Change in Means- Data Input'!G39,"&gt;=3")+COUNTIF('Change in Means- Data Input'!I39,"&gt;=3")+COUNTIF('Change in Means- Data Input'!K39,"&gt;=3")+COUNTIF('Change in Means- Data Input'!M39,"&gt;=3")+COUNTIF('Change in Means- Data Input'!O39,"&gt;=3")+COUNTIF('Change in Means- Data Input'!Q39,"&gt;=3")+COUNTIF('Change in Means- Data Input'!S39,"&gt;=3"))</f>
        <v>NULL</v>
      </c>
      <c r="L32" s="1" t="str">
        <f>IF('Change in Means- Data Input'!B39="NA","NULL",COUNTIF('Change in Means- Data Input'!B39,"&gt;=3")+COUNTIF('Change in Means- Data Input'!D39,"&gt;=3")+COUNTIF('Change in Means- Data Input'!F39,"&gt;=3")+COUNTIF('Change in Means- Data Input'!H39,"&gt;=3")+COUNTIF('Change in Means- Data Input'!J39,"&gt;=3")+COUNTIF('Change in Means- Data Input'!L39,"&gt;=3")+COUNTIF('Change in Means- Data Input'!N39,"&gt;=3")+COUNTIF('Change in Means- Data Input'!P39,"&gt;=3")+COUNTIF('Change in Means- Data Input'!R39,"&gt;=3")+COUNTIF('Change in Means- Data Input'!T39,"&gt;=3"))</f>
        <v>NULL</v>
      </c>
      <c r="M32" s="1" t="str">
        <f>IF(Table37[[#This Row],[Pre]]="NULL","NULL",IF(COUNTIF(A32:J32,"&gt;0"),"Yes","No"))</f>
        <v>NULL</v>
      </c>
    </row>
    <row r="33" spans="1:18" x14ac:dyDescent="0.2">
      <c r="A33" s="17" t="e">
        <f>IF(OR(ISBLANK('Change in Means- Data Input'!A40), ISBLANK('Change in Means- Data Input'!B40)),"", 'Change in Means- Data Input'!B40-'Change in Means- Data Input'!A40)</f>
        <v>#VALUE!</v>
      </c>
      <c r="B33" s="1" t="e">
        <f>IF(OR(ISBLANK('Change in Means- Data Input'!C40),ISBLANK('Change in Means- Data Input'!D40)),"",'Change in Means- Data Input'!D40-'Change in Means- Data Input'!C40)</f>
        <v>#VALUE!</v>
      </c>
      <c r="C33" s="1" t="e">
        <f>IF(OR(ISBLANK('Change in Means- Data Input'!E40),ISBLANK('Change in Means- Data Input'!F40)),"",'Change in Means- Data Input'!F40-'Change in Means- Data Input'!E40)</f>
        <v>#VALUE!</v>
      </c>
      <c r="D33" s="1" t="e">
        <f>IF(OR(ISBLANK('Change in Means- Data Input'!G40),ISBLANK('Change in Means- Data Input'!H40)),"",'Change in Means- Data Input'!H40-'Change in Means- Data Input'!G40)</f>
        <v>#VALUE!</v>
      </c>
      <c r="E33" s="1" t="e">
        <f>IF(OR(ISBLANK('Change in Means- Data Input'!I40),ISBLANK('Change in Means- Data Input'!J40)),"",'Change in Means- Data Input'!J40-'Change in Means- Data Input'!I40)</f>
        <v>#VALUE!</v>
      </c>
      <c r="F33" s="1" t="e">
        <f>IF(OR(ISBLANK('Change in Means- Data Input'!K40),ISBLANK('Change in Means- Data Input'!L40)),"",'Change in Means- Data Input'!L40-'Change in Means- Data Input'!K40)</f>
        <v>#VALUE!</v>
      </c>
      <c r="G33" s="17" t="e">
        <f>IF(OR(ISBLANK('Change in Means- Data Input'!M40),ISBLANK('Change in Means- Data Input'!N40)),"",'Change in Means- Data Input'!N40-'Change in Means- Data Input'!M40)</f>
        <v>#VALUE!</v>
      </c>
      <c r="H33" s="17" t="e">
        <f>IF(OR(ISBLANK('Change in Means- Data Input'!O40),ISBLANK('Change in Means- Data Input'!P40)),"",'Change in Means- Data Input'!P40-'Change in Means- Data Input'!O40)</f>
        <v>#VALUE!</v>
      </c>
      <c r="I33" s="17" t="e">
        <f>IF(OR(ISBLANK('Change in Means- Data Input'!Q40),ISBLANK('Change in Means- Data Input'!R40)),"",'Change in Means- Data Input'!R40-'Change in Means- Data Input'!Q40)</f>
        <v>#VALUE!</v>
      </c>
      <c r="J33" s="17" t="e">
        <f>IF(OR(ISBLANK('Change in Means- Data Input'!S40),ISBLANK('Change in Means- Data Input'!T40)),"",'Change in Means- Data Input'!T40-'Change in Means- Data Input'!S40)</f>
        <v>#VALUE!</v>
      </c>
      <c r="K33" s="1" t="str">
        <f>IF('Change in Means- Data Input'!A40="NA","NULL",COUNTIF('Change in Means- Data Input'!A40,"&gt;=3")+COUNTIF('Change in Means- Data Input'!C40,"&gt;=3")+COUNTIF('Change in Means- Data Input'!E40,"&gt;=3")+COUNTIF('Change in Means- Data Input'!G40,"&gt;=3")+COUNTIF('Change in Means- Data Input'!I40,"&gt;=3")+COUNTIF('Change in Means- Data Input'!K40,"&gt;=3")+COUNTIF('Change in Means- Data Input'!M40,"&gt;=3")+COUNTIF('Change in Means- Data Input'!O40,"&gt;=3")+COUNTIF('Change in Means- Data Input'!Q40,"&gt;=3")+COUNTIF('Change in Means- Data Input'!S40,"&gt;=3"))</f>
        <v>NULL</v>
      </c>
      <c r="L33" s="1" t="str">
        <f>IF('Change in Means- Data Input'!B40="NA","NULL",COUNTIF('Change in Means- Data Input'!B40,"&gt;=3")+COUNTIF('Change in Means- Data Input'!D40,"&gt;=3")+COUNTIF('Change in Means- Data Input'!F40,"&gt;=3")+COUNTIF('Change in Means- Data Input'!H40,"&gt;=3")+COUNTIF('Change in Means- Data Input'!J40,"&gt;=3")+COUNTIF('Change in Means- Data Input'!L40,"&gt;=3")+COUNTIF('Change in Means- Data Input'!N40,"&gt;=3")+COUNTIF('Change in Means- Data Input'!P40,"&gt;=3")+COUNTIF('Change in Means- Data Input'!R40,"&gt;=3")+COUNTIF('Change in Means- Data Input'!T40,"&gt;=3"))</f>
        <v>NULL</v>
      </c>
      <c r="M33" s="1" t="str">
        <f>IF(Table37[[#This Row],[Pre]]="NULL","NULL",IF(COUNTIF(A33:J33,"&gt;0"),"Yes","No"))</f>
        <v>NULL</v>
      </c>
    </row>
    <row r="34" spans="1:18" x14ac:dyDescent="0.2">
      <c r="A34" s="17" t="e">
        <f>IF(OR(ISBLANK('Change in Means- Data Input'!A41), ISBLANK('Change in Means- Data Input'!B41)),"", 'Change in Means- Data Input'!B41-'Change in Means- Data Input'!A41)</f>
        <v>#VALUE!</v>
      </c>
      <c r="B34" s="1" t="e">
        <f>IF(OR(ISBLANK('Change in Means- Data Input'!C41),ISBLANK('Change in Means- Data Input'!D41)),"",'Change in Means- Data Input'!D41-'Change in Means- Data Input'!C41)</f>
        <v>#VALUE!</v>
      </c>
      <c r="C34" s="1" t="e">
        <f>IF(OR(ISBLANK('Change in Means- Data Input'!E41),ISBLANK('Change in Means- Data Input'!F41)),"",'Change in Means- Data Input'!F41-'Change in Means- Data Input'!E41)</f>
        <v>#VALUE!</v>
      </c>
      <c r="D34" s="1" t="e">
        <f>IF(OR(ISBLANK('Change in Means- Data Input'!G41),ISBLANK('Change in Means- Data Input'!H41)),"",'Change in Means- Data Input'!H41-'Change in Means- Data Input'!G41)</f>
        <v>#VALUE!</v>
      </c>
      <c r="E34" s="1" t="e">
        <f>IF(OR(ISBLANK('Change in Means- Data Input'!I41),ISBLANK('Change in Means- Data Input'!J41)),"",'Change in Means- Data Input'!J41-'Change in Means- Data Input'!I41)</f>
        <v>#VALUE!</v>
      </c>
      <c r="F34" s="1" t="e">
        <f>IF(OR(ISBLANK('Change in Means- Data Input'!K41),ISBLANK('Change in Means- Data Input'!L41)),"",'Change in Means- Data Input'!L41-'Change in Means- Data Input'!K41)</f>
        <v>#VALUE!</v>
      </c>
      <c r="G34" s="17" t="e">
        <f>IF(OR(ISBLANK('Change in Means- Data Input'!M41),ISBLANK('Change in Means- Data Input'!N41)),"",'Change in Means- Data Input'!N41-'Change in Means- Data Input'!M41)</f>
        <v>#VALUE!</v>
      </c>
      <c r="H34" s="17" t="e">
        <f>IF(OR(ISBLANK('Change in Means- Data Input'!O41),ISBLANK('Change in Means- Data Input'!P41)),"",'Change in Means- Data Input'!P41-'Change in Means- Data Input'!O41)</f>
        <v>#VALUE!</v>
      </c>
      <c r="I34" s="17" t="e">
        <f>IF(OR(ISBLANK('Change in Means- Data Input'!Q41),ISBLANK('Change in Means- Data Input'!R41)),"",'Change in Means- Data Input'!R41-'Change in Means- Data Input'!Q41)</f>
        <v>#VALUE!</v>
      </c>
      <c r="J34" s="17" t="e">
        <f>IF(OR(ISBLANK('Change in Means- Data Input'!S41),ISBLANK('Change in Means- Data Input'!T41)),"",'Change in Means- Data Input'!T41-'Change in Means- Data Input'!S41)</f>
        <v>#VALUE!</v>
      </c>
      <c r="K34" s="1" t="str">
        <f>IF('Change in Means- Data Input'!A41="NA","NULL",COUNTIF('Change in Means- Data Input'!A41,"&gt;=3")+COUNTIF('Change in Means- Data Input'!C41,"&gt;=3")+COUNTIF('Change in Means- Data Input'!E41,"&gt;=3")+COUNTIF('Change in Means- Data Input'!G41,"&gt;=3")+COUNTIF('Change in Means- Data Input'!I41,"&gt;=3")+COUNTIF('Change in Means- Data Input'!K41,"&gt;=3")+COUNTIF('Change in Means- Data Input'!M41,"&gt;=3")+COUNTIF('Change in Means- Data Input'!O41,"&gt;=3")+COUNTIF('Change in Means- Data Input'!Q41,"&gt;=3")+COUNTIF('Change in Means- Data Input'!S41,"&gt;=3"))</f>
        <v>NULL</v>
      </c>
      <c r="L34" s="1" t="str">
        <f>IF('Change in Means- Data Input'!B41="NA","NULL",COUNTIF('Change in Means- Data Input'!B41,"&gt;=3")+COUNTIF('Change in Means- Data Input'!D41,"&gt;=3")+COUNTIF('Change in Means- Data Input'!F41,"&gt;=3")+COUNTIF('Change in Means- Data Input'!H41,"&gt;=3")+COUNTIF('Change in Means- Data Input'!J41,"&gt;=3")+COUNTIF('Change in Means- Data Input'!L41,"&gt;=3")+COUNTIF('Change in Means- Data Input'!N41,"&gt;=3")+COUNTIF('Change in Means- Data Input'!P41,"&gt;=3")+COUNTIF('Change in Means- Data Input'!R41,"&gt;=3")+COUNTIF('Change in Means- Data Input'!T41,"&gt;=3"))</f>
        <v>NULL</v>
      </c>
      <c r="M34" s="1" t="str">
        <f>IF(Table37[[#This Row],[Pre]]="NULL","NULL",IF(COUNTIF(A34:J34,"&gt;0"),"Yes","No"))</f>
        <v>NULL</v>
      </c>
      <c r="O34" s="106" t="s">
        <v>56</v>
      </c>
      <c r="P34" s="106"/>
      <c r="Q34" s="106"/>
      <c r="R34" s="106"/>
    </row>
    <row r="35" spans="1:18" x14ac:dyDescent="0.2">
      <c r="A35" s="17" t="e">
        <f>IF(OR(ISBLANK('Change in Means- Data Input'!A42), ISBLANK('Change in Means- Data Input'!B42)),"", 'Change in Means- Data Input'!B42-'Change in Means- Data Input'!A42)</f>
        <v>#VALUE!</v>
      </c>
      <c r="B35" s="1" t="e">
        <f>IF(OR(ISBLANK('Change in Means- Data Input'!C42),ISBLANK('Change in Means- Data Input'!D42)),"",'Change in Means- Data Input'!D42-'Change in Means- Data Input'!C42)</f>
        <v>#VALUE!</v>
      </c>
      <c r="C35" s="1" t="e">
        <f>IF(OR(ISBLANK('Change in Means- Data Input'!E42),ISBLANK('Change in Means- Data Input'!F42)),"",'Change in Means- Data Input'!F42-'Change in Means- Data Input'!E42)</f>
        <v>#VALUE!</v>
      </c>
      <c r="D35" s="1" t="e">
        <f>IF(OR(ISBLANK('Change in Means- Data Input'!G42),ISBLANK('Change in Means- Data Input'!H42)),"",'Change in Means- Data Input'!H42-'Change in Means- Data Input'!G42)</f>
        <v>#VALUE!</v>
      </c>
      <c r="E35" s="1" t="e">
        <f>IF(OR(ISBLANK('Change in Means- Data Input'!I42),ISBLANK('Change in Means- Data Input'!J42)),"",'Change in Means- Data Input'!J42-'Change in Means- Data Input'!I42)</f>
        <v>#VALUE!</v>
      </c>
      <c r="F35" s="1" t="e">
        <f>IF(OR(ISBLANK('Change in Means- Data Input'!K42),ISBLANK('Change in Means- Data Input'!L42)),"",'Change in Means- Data Input'!L42-'Change in Means- Data Input'!K42)</f>
        <v>#VALUE!</v>
      </c>
      <c r="G35" s="17" t="e">
        <f>IF(OR(ISBLANK('Change in Means- Data Input'!M42),ISBLANK('Change in Means- Data Input'!N42)),"",'Change in Means- Data Input'!N42-'Change in Means- Data Input'!M42)</f>
        <v>#VALUE!</v>
      </c>
      <c r="H35" s="17" t="e">
        <f>IF(OR(ISBLANK('Change in Means- Data Input'!O42),ISBLANK('Change in Means- Data Input'!P42)),"",'Change in Means- Data Input'!P42-'Change in Means- Data Input'!O42)</f>
        <v>#VALUE!</v>
      </c>
      <c r="I35" s="17" t="e">
        <f>IF(OR(ISBLANK('Change in Means- Data Input'!Q42),ISBLANK('Change in Means- Data Input'!R42)),"",'Change in Means- Data Input'!R42-'Change in Means- Data Input'!Q42)</f>
        <v>#VALUE!</v>
      </c>
      <c r="J35" s="17" t="e">
        <f>IF(OR(ISBLANK('Change in Means- Data Input'!S42),ISBLANK('Change in Means- Data Input'!T42)),"",'Change in Means- Data Input'!T42-'Change in Means- Data Input'!S42)</f>
        <v>#VALUE!</v>
      </c>
      <c r="K35" s="1" t="str">
        <f>IF('Change in Means- Data Input'!A42="NA","NULL",COUNTIF('Change in Means- Data Input'!A42,"&gt;=3")+COUNTIF('Change in Means- Data Input'!C42,"&gt;=3")+COUNTIF('Change in Means- Data Input'!E42,"&gt;=3")+COUNTIF('Change in Means- Data Input'!G42,"&gt;=3")+COUNTIF('Change in Means- Data Input'!I42,"&gt;=3")+COUNTIF('Change in Means- Data Input'!K42,"&gt;=3")+COUNTIF('Change in Means- Data Input'!M42,"&gt;=3")+COUNTIF('Change in Means- Data Input'!O42,"&gt;=3")+COUNTIF('Change in Means- Data Input'!Q42,"&gt;=3")+COUNTIF('Change in Means- Data Input'!S42,"&gt;=3"))</f>
        <v>NULL</v>
      </c>
      <c r="L35" s="1" t="str">
        <f>IF('Change in Means- Data Input'!B42="NA","NULL",COUNTIF('Change in Means- Data Input'!B42,"&gt;=3")+COUNTIF('Change in Means- Data Input'!D42,"&gt;=3")+COUNTIF('Change in Means- Data Input'!F42,"&gt;=3")+COUNTIF('Change in Means- Data Input'!H42,"&gt;=3")+COUNTIF('Change in Means- Data Input'!J42,"&gt;=3")+COUNTIF('Change in Means- Data Input'!L42,"&gt;=3")+COUNTIF('Change in Means- Data Input'!N42,"&gt;=3")+COUNTIF('Change in Means- Data Input'!P42,"&gt;=3")+COUNTIF('Change in Means- Data Input'!R42,"&gt;=3")+COUNTIF('Change in Means- Data Input'!T42,"&gt;=3"))</f>
        <v>NULL</v>
      </c>
      <c r="M35" s="1" t="str">
        <f>IF(Table37[[#This Row],[Pre]]="NULL","NULL",IF(COUNTIF(A35:J35,"&gt;0"),"Yes","No"))</f>
        <v>NULL</v>
      </c>
      <c r="O35" s="89"/>
      <c r="P35" s="90" t="s">
        <v>49</v>
      </c>
      <c r="Q35" s="90" t="s">
        <v>50</v>
      </c>
      <c r="R35" s="90" t="s">
        <v>51</v>
      </c>
    </row>
    <row r="36" spans="1:18" x14ac:dyDescent="0.2">
      <c r="A36" s="17" t="e">
        <f>IF(OR(ISBLANK('Change in Means- Data Input'!A43), ISBLANK('Change in Means- Data Input'!B43)),"", 'Change in Means- Data Input'!B43-'Change in Means- Data Input'!A43)</f>
        <v>#VALUE!</v>
      </c>
      <c r="B36" s="1" t="e">
        <f>IF(OR(ISBLANK('Change in Means- Data Input'!C43),ISBLANK('Change in Means- Data Input'!D43)),"",'Change in Means- Data Input'!D43-'Change in Means- Data Input'!C43)</f>
        <v>#VALUE!</v>
      </c>
      <c r="C36" s="1" t="e">
        <f>IF(OR(ISBLANK('Change in Means- Data Input'!E43),ISBLANK('Change in Means- Data Input'!F43)),"",'Change in Means- Data Input'!F43-'Change in Means- Data Input'!E43)</f>
        <v>#VALUE!</v>
      </c>
      <c r="D36" s="1" t="e">
        <f>IF(OR(ISBLANK('Change in Means- Data Input'!G43),ISBLANK('Change in Means- Data Input'!H43)),"",'Change in Means- Data Input'!H43-'Change in Means- Data Input'!G43)</f>
        <v>#VALUE!</v>
      </c>
      <c r="E36" s="1" t="e">
        <f>IF(OR(ISBLANK('Change in Means- Data Input'!I43),ISBLANK('Change in Means- Data Input'!J43)),"",'Change in Means- Data Input'!J43-'Change in Means- Data Input'!I43)</f>
        <v>#VALUE!</v>
      </c>
      <c r="F36" s="1" t="e">
        <f>IF(OR(ISBLANK('Change in Means- Data Input'!K43),ISBLANK('Change in Means- Data Input'!L43)),"",'Change in Means- Data Input'!L43-'Change in Means- Data Input'!K43)</f>
        <v>#VALUE!</v>
      </c>
      <c r="G36" s="17" t="e">
        <f>IF(OR(ISBLANK('Change in Means- Data Input'!M43),ISBLANK('Change in Means- Data Input'!N43)),"",'Change in Means- Data Input'!N43-'Change in Means- Data Input'!M43)</f>
        <v>#VALUE!</v>
      </c>
      <c r="H36" s="17" t="e">
        <f>IF(OR(ISBLANK('Change in Means- Data Input'!O43),ISBLANK('Change in Means- Data Input'!P43)),"",'Change in Means- Data Input'!P43-'Change in Means- Data Input'!O43)</f>
        <v>#VALUE!</v>
      </c>
      <c r="I36" s="17" t="e">
        <f>IF(OR(ISBLANK('Change in Means- Data Input'!Q43),ISBLANK('Change in Means- Data Input'!R43)),"",'Change in Means- Data Input'!R43-'Change in Means- Data Input'!Q43)</f>
        <v>#VALUE!</v>
      </c>
      <c r="J36" s="17" t="e">
        <f>IF(OR(ISBLANK('Change in Means- Data Input'!S43),ISBLANK('Change in Means- Data Input'!T43)),"",'Change in Means- Data Input'!T43-'Change in Means- Data Input'!S43)</f>
        <v>#VALUE!</v>
      </c>
      <c r="K36" s="1" t="str">
        <f>IF('Change in Means- Data Input'!A43="NA","NULL",COUNTIF('Change in Means- Data Input'!A43,"&gt;=3")+COUNTIF('Change in Means- Data Input'!C43,"&gt;=3")+COUNTIF('Change in Means- Data Input'!E43,"&gt;=3")+COUNTIF('Change in Means- Data Input'!G43,"&gt;=3")+COUNTIF('Change in Means- Data Input'!I43,"&gt;=3")+COUNTIF('Change in Means- Data Input'!K43,"&gt;=3")+COUNTIF('Change in Means- Data Input'!M43,"&gt;=3")+COUNTIF('Change in Means- Data Input'!O43,"&gt;=3")+COUNTIF('Change in Means- Data Input'!Q43,"&gt;=3")+COUNTIF('Change in Means- Data Input'!S43,"&gt;=3"))</f>
        <v>NULL</v>
      </c>
      <c r="L36" s="1" t="str">
        <f>IF('Change in Means- Data Input'!B43="NA","NULL",COUNTIF('Change in Means- Data Input'!B43,"&gt;=3")+COUNTIF('Change in Means- Data Input'!D43,"&gt;=3")+COUNTIF('Change in Means- Data Input'!F43,"&gt;=3")+COUNTIF('Change in Means- Data Input'!H43,"&gt;=3")+COUNTIF('Change in Means- Data Input'!J43,"&gt;=3")+COUNTIF('Change in Means- Data Input'!L43,"&gt;=3")+COUNTIF('Change in Means- Data Input'!N43,"&gt;=3")+COUNTIF('Change in Means- Data Input'!P43,"&gt;=3")+COUNTIF('Change in Means- Data Input'!R43,"&gt;=3")+COUNTIF('Change in Means- Data Input'!T43,"&gt;=3"))</f>
        <v>NULL</v>
      </c>
      <c r="M36" s="1" t="str">
        <f>IF(Table37[[#This Row],[Pre]]="NULL","NULL",IF(COUNTIF(A36:J36,"&gt;0"),"Yes","No"))</f>
        <v>NULL</v>
      </c>
      <c r="O36" s="91">
        <v>10</v>
      </c>
      <c r="P36" s="89">
        <f>COUNTIF(Table38[Post],10)</f>
        <v>0</v>
      </c>
      <c r="Q36" s="97" t="e">
        <f>P36/P47</f>
        <v>#DIV/0!</v>
      </c>
      <c r="R36" s="99" t="e">
        <f>Q36</f>
        <v>#DIV/0!</v>
      </c>
    </row>
    <row r="37" spans="1:18" x14ac:dyDescent="0.2">
      <c r="A37" s="17" t="e">
        <f>IF(OR(ISBLANK('Change in Means- Data Input'!A44), ISBLANK('Change in Means- Data Input'!B44)),"", 'Change in Means- Data Input'!B44-'Change in Means- Data Input'!A44)</f>
        <v>#VALUE!</v>
      </c>
      <c r="B37" s="1" t="e">
        <f>IF(OR(ISBLANK('Change in Means- Data Input'!C44),ISBLANK('Change in Means- Data Input'!D44)),"",'Change in Means- Data Input'!D44-'Change in Means- Data Input'!C44)</f>
        <v>#VALUE!</v>
      </c>
      <c r="C37" s="1" t="e">
        <f>IF(OR(ISBLANK('Change in Means- Data Input'!E44),ISBLANK('Change in Means- Data Input'!F44)),"",'Change in Means- Data Input'!F44-'Change in Means- Data Input'!E44)</f>
        <v>#VALUE!</v>
      </c>
      <c r="D37" s="1" t="e">
        <f>IF(OR(ISBLANK('Change in Means- Data Input'!G44),ISBLANK('Change in Means- Data Input'!H44)),"",'Change in Means- Data Input'!H44-'Change in Means- Data Input'!G44)</f>
        <v>#VALUE!</v>
      </c>
      <c r="E37" s="1" t="e">
        <f>IF(OR(ISBLANK('Change in Means- Data Input'!I44),ISBLANK('Change in Means- Data Input'!J44)),"",'Change in Means- Data Input'!J44-'Change in Means- Data Input'!I44)</f>
        <v>#VALUE!</v>
      </c>
      <c r="F37" s="1" t="e">
        <f>IF(OR(ISBLANK('Change in Means- Data Input'!K44),ISBLANK('Change in Means- Data Input'!L44)),"",'Change in Means- Data Input'!L44-'Change in Means- Data Input'!K44)</f>
        <v>#VALUE!</v>
      </c>
      <c r="G37" s="17" t="e">
        <f>IF(OR(ISBLANK('Change in Means- Data Input'!M44),ISBLANK('Change in Means- Data Input'!N44)),"",'Change in Means- Data Input'!N44-'Change in Means- Data Input'!M44)</f>
        <v>#VALUE!</v>
      </c>
      <c r="H37" s="17" t="e">
        <f>IF(OR(ISBLANK('Change in Means- Data Input'!O44),ISBLANK('Change in Means- Data Input'!P44)),"",'Change in Means- Data Input'!P44-'Change in Means- Data Input'!O44)</f>
        <v>#VALUE!</v>
      </c>
      <c r="I37" s="17" t="e">
        <f>IF(OR(ISBLANK('Change in Means- Data Input'!Q44),ISBLANK('Change in Means- Data Input'!R44)),"",'Change in Means- Data Input'!R44-'Change in Means- Data Input'!Q44)</f>
        <v>#VALUE!</v>
      </c>
      <c r="J37" s="17" t="e">
        <f>IF(OR(ISBLANK('Change in Means- Data Input'!S44),ISBLANK('Change in Means- Data Input'!T44)),"",'Change in Means- Data Input'!T44-'Change in Means- Data Input'!S44)</f>
        <v>#VALUE!</v>
      </c>
      <c r="K37" s="1" t="str">
        <f>IF('Change in Means- Data Input'!A44="NA","NULL",COUNTIF('Change in Means- Data Input'!A44,"&gt;=3")+COUNTIF('Change in Means- Data Input'!C44,"&gt;=3")+COUNTIF('Change in Means- Data Input'!E44,"&gt;=3")+COUNTIF('Change in Means- Data Input'!G44,"&gt;=3")+COUNTIF('Change in Means- Data Input'!I44,"&gt;=3")+COUNTIF('Change in Means- Data Input'!K44,"&gt;=3")+COUNTIF('Change in Means- Data Input'!M44,"&gt;=3")+COUNTIF('Change in Means- Data Input'!O44,"&gt;=3")+COUNTIF('Change in Means- Data Input'!Q44,"&gt;=3")+COUNTIF('Change in Means- Data Input'!S44,"&gt;=3"))</f>
        <v>NULL</v>
      </c>
      <c r="L37" s="1" t="str">
        <f>IF('Change in Means- Data Input'!B44="NA","NULL",COUNTIF('Change in Means- Data Input'!B44,"&gt;=3")+COUNTIF('Change in Means- Data Input'!D44,"&gt;=3")+COUNTIF('Change in Means- Data Input'!F44,"&gt;=3")+COUNTIF('Change in Means- Data Input'!H44,"&gt;=3")+COUNTIF('Change in Means- Data Input'!J44,"&gt;=3")+COUNTIF('Change in Means- Data Input'!L44,"&gt;=3")+COUNTIF('Change in Means- Data Input'!N44,"&gt;=3")+COUNTIF('Change in Means- Data Input'!P44,"&gt;=3")+COUNTIF('Change in Means- Data Input'!R44,"&gt;=3")+COUNTIF('Change in Means- Data Input'!T44,"&gt;=3"))</f>
        <v>NULL</v>
      </c>
      <c r="M37" s="1" t="str">
        <f>IF(Table37[[#This Row],[Pre]]="NULL","NULL",IF(COUNTIF(A37:J37,"&gt;0"),"Yes","No"))</f>
        <v>NULL</v>
      </c>
      <c r="O37" s="91">
        <v>9</v>
      </c>
      <c r="P37" s="89">
        <f>COUNTIF(Table38[Post],9)</f>
        <v>0</v>
      </c>
      <c r="Q37" s="97" t="e">
        <f>P37/P47</f>
        <v>#DIV/0!</v>
      </c>
      <c r="R37" s="99" t="e">
        <f>R36+Q37</f>
        <v>#DIV/0!</v>
      </c>
    </row>
    <row r="38" spans="1:18" x14ac:dyDescent="0.2">
      <c r="A38" s="17" t="e">
        <f>IF(OR(ISBLANK('Change in Means- Data Input'!A45), ISBLANK('Change in Means- Data Input'!B45)),"", 'Change in Means- Data Input'!B45-'Change in Means- Data Input'!A45)</f>
        <v>#VALUE!</v>
      </c>
      <c r="B38" s="1" t="e">
        <f>IF(OR(ISBLANK('Change in Means- Data Input'!C45),ISBLANK('Change in Means- Data Input'!D45)),"",'Change in Means- Data Input'!D45-'Change in Means- Data Input'!C45)</f>
        <v>#VALUE!</v>
      </c>
      <c r="C38" s="1" t="e">
        <f>IF(OR(ISBLANK('Change in Means- Data Input'!E45),ISBLANK('Change in Means- Data Input'!F45)),"",'Change in Means- Data Input'!F45-'Change in Means- Data Input'!E45)</f>
        <v>#VALUE!</v>
      </c>
      <c r="D38" s="1" t="e">
        <f>IF(OR(ISBLANK('Change in Means- Data Input'!G45),ISBLANK('Change in Means- Data Input'!H45)),"",'Change in Means- Data Input'!H45-'Change in Means- Data Input'!G45)</f>
        <v>#VALUE!</v>
      </c>
      <c r="E38" s="1" t="e">
        <f>IF(OR(ISBLANK('Change in Means- Data Input'!I45),ISBLANK('Change in Means- Data Input'!J45)),"",'Change in Means- Data Input'!J45-'Change in Means- Data Input'!I45)</f>
        <v>#VALUE!</v>
      </c>
      <c r="F38" s="1" t="e">
        <f>IF(OR(ISBLANK('Change in Means- Data Input'!K45),ISBLANK('Change in Means- Data Input'!L45)),"",'Change in Means- Data Input'!L45-'Change in Means- Data Input'!K45)</f>
        <v>#VALUE!</v>
      </c>
      <c r="G38" s="17" t="e">
        <f>IF(OR(ISBLANK('Change in Means- Data Input'!M45),ISBLANK('Change in Means- Data Input'!N45)),"",'Change in Means- Data Input'!N45-'Change in Means- Data Input'!M45)</f>
        <v>#VALUE!</v>
      </c>
      <c r="H38" s="17" t="e">
        <f>IF(OR(ISBLANK('Change in Means- Data Input'!O45),ISBLANK('Change in Means- Data Input'!P45)),"",'Change in Means- Data Input'!P45-'Change in Means- Data Input'!O45)</f>
        <v>#VALUE!</v>
      </c>
      <c r="I38" s="17" t="e">
        <f>IF(OR(ISBLANK('Change in Means- Data Input'!Q45),ISBLANK('Change in Means- Data Input'!R45)),"",'Change in Means- Data Input'!R45-'Change in Means- Data Input'!Q45)</f>
        <v>#VALUE!</v>
      </c>
      <c r="J38" s="17" t="e">
        <f>IF(OR(ISBLANK('Change in Means- Data Input'!S45),ISBLANK('Change in Means- Data Input'!T45)),"",'Change in Means- Data Input'!T45-'Change in Means- Data Input'!S45)</f>
        <v>#VALUE!</v>
      </c>
      <c r="K38" s="1" t="str">
        <f>IF('Change in Means- Data Input'!A45="NA","NULL",COUNTIF('Change in Means- Data Input'!A45,"&gt;=3")+COUNTIF('Change in Means- Data Input'!C45,"&gt;=3")+COUNTIF('Change in Means- Data Input'!E45,"&gt;=3")+COUNTIF('Change in Means- Data Input'!G45,"&gt;=3")+COUNTIF('Change in Means- Data Input'!I45,"&gt;=3")+COUNTIF('Change in Means- Data Input'!K45,"&gt;=3")+COUNTIF('Change in Means- Data Input'!M45,"&gt;=3")+COUNTIF('Change in Means- Data Input'!O45,"&gt;=3")+COUNTIF('Change in Means- Data Input'!Q45,"&gt;=3")+COUNTIF('Change in Means- Data Input'!S45,"&gt;=3"))</f>
        <v>NULL</v>
      </c>
      <c r="L38" s="1" t="str">
        <f>IF('Change in Means- Data Input'!B45="NA","NULL",COUNTIF('Change in Means- Data Input'!B45,"&gt;=3")+COUNTIF('Change in Means- Data Input'!D45,"&gt;=3")+COUNTIF('Change in Means- Data Input'!F45,"&gt;=3")+COUNTIF('Change in Means- Data Input'!H45,"&gt;=3")+COUNTIF('Change in Means- Data Input'!J45,"&gt;=3")+COUNTIF('Change in Means- Data Input'!L45,"&gt;=3")+COUNTIF('Change in Means- Data Input'!N45,"&gt;=3")+COUNTIF('Change in Means- Data Input'!P45,"&gt;=3")+COUNTIF('Change in Means- Data Input'!R45,"&gt;=3")+COUNTIF('Change in Means- Data Input'!T45,"&gt;=3"))</f>
        <v>NULL</v>
      </c>
      <c r="M38" s="1" t="str">
        <f>IF(Table37[[#This Row],[Pre]]="NULL","NULL",IF(COUNTIF(A38:J38,"&gt;0"),"Yes","No"))</f>
        <v>NULL</v>
      </c>
      <c r="O38" s="91">
        <v>8</v>
      </c>
      <c r="P38" s="89">
        <f>COUNTIF(Table38[Post],8)</f>
        <v>0</v>
      </c>
      <c r="Q38" s="97" t="e">
        <f>P38/P47</f>
        <v>#DIV/0!</v>
      </c>
      <c r="R38" s="99" t="e">
        <f>R37+Q38</f>
        <v>#DIV/0!</v>
      </c>
    </row>
    <row r="39" spans="1:18" x14ac:dyDescent="0.2">
      <c r="A39" s="17" t="e">
        <f>IF(OR(ISBLANK('Change in Means- Data Input'!A46), ISBLANK('Change in Means- Data Input'!B46)),"", 'Change in Means- Data Input'!B46-'Change in Means- Data Input'!A46)</f>
        <v>#VALUE!</v>
      </c>
      <c r="B39" s="1" t="e">
        <f>IF(OR(ISBLANK('Change in Means- Data Input'!C46),ISBLANK('Change in Means- Data Input'!D46)),"",'Change in Means- Data Input'!D46-'Change in Means- Data Input'!C46)</f>
        <v>#VALUE!</v>
      </c>
      <c r="C39" s="1" t="e">
        <f>IF(OR(ISBLANK('Change in Means- Data Input'!E46),ISBLANK('Change in Means- Data Input'!F46)),"",'Change in Means- Data Input'!F46-'Change in Means- Data Input'!E46)</f>
        <v>#VALUE!</v>
      </c>
      <c r="D39" s="1" t="e">
        <f>IF(OR(ISBLANK('Change in Means- Data Input'!G46),ISBLANK('Change in Means- Data Input'!H46)),"",'Change in Means- Data Input'!H46-'Change in Means- Data Input'!G46)</f>
        <v>#VALUE!</v>
      </c>
      <c r="E39" s="1" t="e">
        <f>IF(OR(ISBLANK('Change in Means- Data Input'!I46),ISBLANK('Change in Means- Data Input'!J46)),"",'Change in Means- Data Input'!J46-'Change in Means- Data Input'!I46)</f>
        <v>#VALUE!</v>
      </c>
      <c r="F39" s="1" t="e">
        <f>IF(OR(ISBLANK('Change in Means- Data Input'!K46),ISBLANK('Change in Means- Data Input'!L46)),"",'Change in Means- Data Input'!L46-'Change in Means- Data Input'!K46)</f>
        <v>#VALUE!</v>
      </c>
      <c r="G39" s="17" t="e">
        <f>IF(OR(ISBLANK('Change in Means- Data Input'!M46),ISBLANK('Change in Means- Data Input'!N46)),"",'Change in Means- Data Input'!N46-'Change in Means- Data Input'!M46)</f>
        <v>#VALUE!</v>
      </c>
      <c r="H39" s="17" t="e">
        <f>IF(OR(ISBLANK('Change in Means- Data Input'!O46),ISBLANK('Change in Means- Data Input'!P46)),"",'Change in Means- Data Input'!P46-'Change in Means- Data Input'!O46)</f>
        <v>#VALUE!</v>
      </c>
      <c r="I39" s="17" t="e">
        <f>IF(OR(ISBLANK('Change in Means- Data Input'!Q46),ISBLANK('Change in Means- Data Input'!R46)),"",'Change in Means- Data Input'!R46-'Change in Means- Data Input'!Q46)</f>
        <v>#VALUE!</v>
      </c>
      <c r="J39" s="17" t="e">
        <f>IF(OR(ISBLANK('Change in Means- Data Input'!S46),ISBLANK('Change in Means- Data Input'!T46)),"",'Change in Means- Data Input'!T46-'Change in Means- Data Input'!S46)</f>
        <v>#VALUE!</v>
      </c>
      <c r="K39" s="1" t="str">
        <f>IF('Change in Means- Data Input'!A46="NA","NULL",COUNTIF('Change in Means- Data Input'!A46,"&gt;=3")+COUNTIF('Change in Means- Data Input'!C46,"&gt;=3")+COUNTIF('Change in Means- Data Input'!E46,"&gt;=3")+COUNTIF('Change in Means- Data Input'!G46,"&gt;=3")+COUNTIF('Change in Means- Data Input'!I46,"&gt;=3")+COUNTIF('Change in Means- Data Input'!K46,"&gt;=3")+COUNTIF('Change in Means- Data Input'!M46,"&gt;=3")+COUNTIF('Change in Means- Data Input'!O46,"&gt;=3")+COUNTIF('Change in Means- Data Input'!Q46,"&gt;=3")+COUNTIF('Change in Means- Data Input'!S46,"&gt;=3"))</f>
        <v>NULL</v>
      </c>
      <c r="L39" s="1" t="str">
        <f>IF('Change in Means- Data Input'!B46="NA","NULL",COUNTIF('Change in Means- Data Input'!B46,"&gt;=3")+COUNTIF('Change in Means- Data Input'!D46,"&gt;=3")+COUNTIF('Change in Means- Data Input'!F46,"&gt;=3")+COUNTIF('Change in Means- Data Input'!H46,"&gt;=3")+COUNTIF('Change in Means- Data Input'!J46,"&gt;=3")+COUNTIF('Change in Means- Data Input'!L46,"&gt;=3")+COUNTIF('Change in Means- Data Input'!N46,"&gt;=3")+COUNTIF('Change in Means- Data Input'!P46,"&gt;=3")+COUNTIF('Change in Means- Data Input'!R46,"&gt;=3")+COUNTIF('Change in Means- Data Input'!T46,"&gt;=3"))</f>
        <v>NULL</v>
      </c>
      <c r="M39" s="1" t="str">
        <f>IF(Table37[[#This Row],[Pre]]="NULL","NULL",IF(COUNTIF(A39:J39,"&gt;0"),"Yes","No"))</f>
        <v>NULL</v>
      </c>
      <c r="O39" s="91">
        <v>7</v>
      </c>
      <c r="P39" s="89">
        <f>COUNTIF(Table38[Post],7)</f>
        <v>0</v>
      </c>
      <c r="Q39" s="97" t="e">
        <f>P39/P47</f>
        <v>#DIV/0!</v>
      </c>
      <c r="R39" s="99" t="e">
        <f>R38+Q39</f>
        <v>#DIV/0!</v>
      </c>
    </row>
    <row r="40" spans="1:18" x14ac:dyDescent="0.2">
      <c r="A40" s="17" t="e">
        <f>IF(OR(ISBLANK('Change in Means- Data Input'!A47), ISBLANK('Change in Means- Data Input'!B47)),"", 'Change in Means- Data Input'!B47-'Change in Means- Data Input'!A47)</f>
        <v>#VALUE!</v>
      </c>
      <c r="B40" s="1" t="e">
        <f>IF(OR(ISBLANK('Change in Means- Data Input'!C47),ISBLANK('Change in Means- Data Input'!D47)),"",'Change in Means- Data Input'!D47-'Change in Means- Data Input'!C47)</f>
        <v>#VALUE!</v>
      </c>
      <c r="C40" s="1" t="e">
        <f>IF(OR(ISBLANK('Change in Means- Data Input'!E47),ISBLANK('Change in Means- Data Input'!F47)),"",'Change in Means- Data Input'!F47-'Change in Means- Data Input'!E47)</f>
        <v>#VALUE!</v>
      </c>
      <c r="D40" s="1" t="e">
        <f>IF(OR(ISBLANK('Change in Means- Data Input'!G47),ISBLANK('Change in Means- Data Input'!H47)),"",'Change in Means- Data Input'!H47-'Change in Means- Data Input'!G47)</f>
        <v>#VALUE!</v>
      </c>
      <c r="E40" s="1" t="e">
        <f>IF(OR(ISBLANK('Change in Means- Data Input'!I47),ISBLANK('Change in Means- Data Input'!J47)),"",'Change in Means- Data Input'!J47-'Change in Means- Data Input'!I47)</f>
        <v>#VALUE!</v>
      </c>
      <c r="F40" s="1" t="e">
        <f>IF(OR(ISBLANK('Change in Means- Data Input'!K47),ISBLANK('Change in Means- Data Input'!L47)),"",'Change in Means- Data Input'!L47-'Change in Means- Data Input'!K47)</f>
        <v>#VALUE!</v>
      </c>
      <c r="G40" s="17" t="e">
        <f>IF(OR(ISBLANK('Change in Means- Data Input'!M47),ISBLANK('Change in Means- Data Input'!N47)),"",'Change in Means- Data Input'!N47-'Change in Means- Data Input'!M47)</f>
        <v>#VALUE!</v>
      </c>
      <c r="H40" s="17" t="e">
        <f>IF(OR(ISBLANK('Change in Means- Data Input'!O47),ISBLANK('Change in Means- Data Input'!P47)),"",'Change in Means- Data Input'!P47-'Change in Means- Data Input'!O47)</f>
        <v>#VALUE!</v>
      </c>
      <c r="I40" s="17" t="e">
        <f>IF(OR(ISBLANK('Change in Means- Data Input'!Q47),ISBLANK('Change in Means- Data Input'!R47)),"",'Change in Means- Data Input'!R47-'Change in Means- Data Input'!Q47)</f>
        <v>#VALUE!</v>
      </c>
      <c r="J40" s="17" t="e">
        <f>IF(OR(ISBLANK('Change in Means- Data Input'!S47),ISBLANK('Change in Means- Data Input'!T47)),"",'Change in Means- Data Input'!T47-'Change in Means- Data Input'!S47)</f>
        <v>#VALUE!</v>
      </c>
      <c r="K40" s="1" t="str">
        <f>IF('Change in Means- Data Input'!A47="NA","NULL",COUNTIF('Change in Means- Data Input'!A47,"&gt;=3")+COUNTIF('Change in Means- Data Input'!C47,"&gt;=3")+COUNTIF('Change in Means- Data Input'!E47,"&gt;=3")+COUNTIF('Change in Means- Data Input'!G47,"&gt;=3")+COUNTIF('Change in Means- Data Input'!I47,"&gt;=3")+COUNTIF('Change in Means- Data Input'!K47,"&gt;=3")+COUNTIF('Change in Means- Data Input'!M47,"&gt;=3")+COUNTIF('Change in Means- Data Input'!O47,"&gt;=3")+COUNTIF('Change in Means- Data Input'!Q47,"&gt;=3")+COUNTIF('Change in Means- Data Input'!S47,"&gt;=3"))</f>
        <v>NULL</v>
      </c>
      <c r="L40" s="1" t="str">
        <f>IF('Change in Means- Data Input'!B47="NA","NULL",COUNTIF('Change in Means- Data Input'!B47,"&gt;=3")+COUNTIF('Change in Means- Data Input'!D47,"&gt;=3")+COUNTIF('Change in Means- Data Input'!F47,"&gt;=3")+COUNTIF('Change in Means- Data Input'!H47,"&gt;=3")+COUNTIF('Change in Means- Data Input'!J47,"&gt;=3")+COUNTIF('Change in Means- Data Input'!L47,"&gt;=3")+COUNTIF('Change in Means- Data Input'!N47,"&gt;=3")+COUNTIF('Change in Means- Data Input'!P47,"&gt;=3")+COUNTIF('Change in Means- Data Input'!R47,"&gt;=3")+COUNTIF('Change in Means- Data Input'!T47,"&gt;=3"))</f>
        <v>NULL</v>
      </c>
      <c r="M40" s="1" t="str">
        <f>IF(Table37[[#This Row],[Pre]]="NULL","NULL",IF(COUNTIF(A40:J40,"&gt;0"),"Yes","No"))</f>
        <v>NULL</v>
      </c>
      <c r="O40" s="91">
        <v>6</v>
      </c>
      <c r="P40" s="89">
        <f>COUNTIF(Table38[Post],6)</f>
        <v>0</v>
      </c>
      <c r="Q40" s="98" t="e">
        <f>P40/P47</f>
        <v>#DIV/0!</v>
      </c>
      <c r="R40" s="93" t="e">
        <f>R39+Q40</f>
        <v>#DIV/0!</v>
      </c>
    </row>
    <row r="41" spans="1:18" x14ac:dyDescent="0.2">
      <c r="A41" s="17" t="e">
        <f>IF(OR(ISBLANK('Change in Means- Data Input'!A48), ISBLANK('Change in Means- Data Input'!B48)),"", 'Change in Means- Data Input'!B48-'Change in Means- Data Input'!A48)</f>
        <v>#VALUE!</v>
      </c>
      <c r="B41" s="1" t="e">
        <f>IF(OR(ISBLANK('Change in Means- Data Input'!C48),ISBLANK('Change in Means- Data Input'!D48)),"",'Change in Means- Data Input'!D48-'Change in Means- Data Input'!C48)</f>
        <v>#VALUE!</v>
      </c>
      <c r="C41" s="1" t="e">
        <f>IF(OR(ISBLANK('Change in Means- Data Input'!E48),ISBLANK('Change in Means- Data Input'!F48)),"",'Change in Means- Data Input'!F48-'Change in Means- Data Input'!E48)</f>
        <v>#VALUE!</v>
      </c>
      <c r="D41" s="1" t="e">
        <f>IF(OR(ISBLANK('Change in Means- Data Input'!G48),ISBLANK('Change in Means- Data Input'!H48)),"",'Change in Means- Data Input'!H48-'Change in Means- Data Input'!G48)</f>
        <v>#VALUE!</v>
      </c>
      <c r="E41" s="1" t="e">
        <f>IF(OR(ISBLANK('Change in Means- Data Input'!I48),ISBLANK('Change in Means- Data Input'!J48)),"",'Change in Means- Data Input'!J48-'Change in Means- Data Input'!I48)</f>
        <v>#VALUE!</v>
      </c>
      <c r="F41" s="1" t="e">
        <f>IF(OR(ISBLANK('Change in Means- Data Input'!K48),ISBLANK('Change in Means- Data Input'!L48)),"",'Change in Means- Data Input'!L48-'Change in Means- Data Input'!K48)</f>
        <v>#VALUE!</v>
      </c>
      <c r="G41" s="17" t="e">
        <f>IF(OR(ISBLANK('Change in Means- Data Input'!M48),ISBLANK('Change in Means- Data Input'!N48)),"",'Change in Means- Data Input'!N48-'Change in Means- Data Input'!M48)</f>
        <v>#VALUE!</v>
      </c>
      <c r="H41" s="17" t="e">
        <f>IF(OR(ISBLANK('Change in Means- Data Input'!O48),ISBLANK('Change in Means- Data Input'!P48)),"",'Change in Means- Data Input'!P48-'Change in Means- Data Input'!O48)</f>
        <v>#VALUE!</v>
      </c>
      <c r="I41" s="17" t="e">
        <f>IF(OR(ISBLANK('Change in Means- Data Input'!Q48),ISBLANK('Change in Means- Data Input'!R48)),"",'Change in Means- Data Input'!R48-'Change in Means- Data Input'!Q48)</f>
        <v>#VALUE!</v>
      </c>
      <c r="J41" s="17" t="e">
        <f>IF(OR(ISBLANK('Change in Means- Data Input'!S48),ISBLANK('Change in Means- Data Input'!T48)),"",'Change in Means- Data Input'!T48-'Change in Means- Data Input'!S48)</f>
        <v>#VALUE!</v>
      </c>
      <c r="K41" s="1" t="str">
        <f>IF('Change in Means- Data Input'!A48="NA","NULL",COUNTIF('Change in Means- Data Input'!A48,"&gt;=3")+COUNTIF('Change in Means- Data Input'!C48,"&gt;=3")+COUNTIF('Change in Means- Data Input'!E48,"&gt;=3")+COUNTIF('Change in Means- Data Input'!G48,"&gt;=3")+COUNTIF('Change in Means- Data Input'!I48,"&gt;=3")+COUNTIF('Change in Means- Data Input'!K48,"&gt;=3")+COUNTIF('Change in Means- Data Input'!M48,"&gt;=3")+COUNTIF('Change in Means- Data Input'!O48,"&gt;=3")+COUNTIF('Change in Means- Data Input'!Q48,"&gt;=3")+COUNTIF('Change in Means- Data Input'!S48,"&gt;=3"))</f>
        <v>NULL</v>
      </c>
      <c r="L41" s="1" t="str">
        <f>IF('Change in Means- Data Input'!B48="NA","NULL",COUNTIF('Change in Means- Data Input'!B48,"&gt;=3")+COUNTIF('Change in Means- Data Input'!D48,"&gt;=3")+COUNTIF('Change in Means- Data Input'!F48,"&gt;=3")+COUNTIF('Change in Means- Data Input'!H48,"&gt;=3")+COUNTIF('Change in Means- Data Input'!J48,"&gt;=3")+COUNTIF('Change in Means- Data Input'!L48,"&gt;=3")+COUNTIF('Change in Means- Data Input'!N48,"&gt;=3")+COUNTIF('Change in Means- Data Input'!P48,"&gt;=3")+COUNTIF('Change in Means- Data Input'!R48,"&gt;=3")+COUNTIF('Change in Means- Data Input'!T48,"&gt;=3"))</f>
        <v>NULL</v>
      </c>
      <c r="M41" s="1" t="str">
        <f>IF(Table37[[#This Row],[Pre]]="NULL","NULL",IF(COUNTIF(A41:J41,"&gt;0"),"Yes","No"))</f>
        <v>NULL</v>
      </c>
      <c r="O41" s="91">
        <v>5</v>
      </c>
      <c r="P41" s="89">
        <f>COUNTIF(Table38[Post],5)</f>
        <v>0</v>
      </c>
      <c r="Q41" s="98" t="e">
        <f>P41/P47</f>
        <v>#DIV/0!</v>
      </c>
      <c r="R41" s="93" t="e">
        <f t="shared" ref="R41:R46" si="3">R40+Q41</f>
        <v>#DIV/0!</v>
      </c>
    </row>
    <row r="42" spans="1:18" x14ac:dyDescent="0.2">
      <c r="A42" s="17" t="e">
        <f>IF(OR(ISBLANK('Change in Means- Data Input'!A49), ISBLANK('Change in Means- Data Input'!B49)),"", 'Change in Means- Data Input'!B49-'Change in Means- Data Input'!A49)</f>
        <v>#VALUE!</v>
      </c>
      <c r="B42" s="1" t="e">
        <f>IF(OR(ISBLANK('Change in Means- Data Input'!C49),ISBLANK('Change in Means- Data Input'!D49)),"",'Change in Means- Data Input'!D49-'Change in Means- Data Input'!C49)</f>
        <v>#VALUE!</v>
      </c>
      <c r="C42" s="1" t="e">
        <f>IF(OR(ISBLANK('Change in Means- Data Input'!E49),ISBLANK('Change in Means- Data Input'!F49)),"",'Change in Means- Data Input'!F49-'Change in Means- Data Input'!E49)</f>
        <v>#VALUE!</v>
      </c>
      <c r="D42" s="1" t="e">
        <f>IF(OR(ISBLANK('Change in Means- Data Input'!G49),ISBLANK('Change in Means- Data Input'!H49)),"",'Change in Means- Data Input'!H49-'Change in Means- Data Input'!G49)</f>
        <v>#VALUE!</v>
      </c>
      <c r="E42" s="1" t="e">
        <f>IF(OR(ISBLANK('Change in Means- Data Input'!I49),ISBLANK('Change in Means- Data Input'!J49)),"",'Change in Means- Data Input'!J49-'Change in Means- Data Input'!I49)</f>
        <v>#VALUE!</v>
      </c>
      <c r="F42" s="1" t="e">
        <f>IF(OR(ISBLANK('Change in Means- Data Input'!K49),ISBLANK('Change in Means- Data Input'!L49)),"",'Change in Means- Data Input'!L49-'Change in Means- Data Input'!K49)</f>
        <v>#VALUE!</v>
      </c>
      <c r="G42" s="17" t="e">
        <f>IF(OR(ISBLANK('Change in Means- Data Input'!M49),ISBLANK('Change in Means- Data Input'!N49)),"",'Change in Means- Data Input'!N49-'Change in Means- Data Input'!M49)</f>
        <v>#VALUE!</v>
      </c>
      <c r="H42" s="17" t="e">
        <f>IF(OR(ISBLANK('Change in Means- Data Input'!O49),ISBLANK('Change in Means- Data Input'!P49)),"",'Change in Means- Data Input'!P49-'Change in Means- Data Input'!O49)</f>
        <v>#VALUE!</v>
      </c>
      <c r="I42" s="17" t="e">
        <f>IF(OR(ISBLANK('Change in Means- Data Input'!Q49),ISBLANK('Change in Means- Data Input'!R49)),"",'Change in Means- Data Input'!R49-'Change in Means- Data Input'!Q49)</f>
        <v>#VALUE!</v>
      </c>
      <c r="J42" s="17" t="e">
        <f>IF(OR(ISBLANK('Change in Means- Data Input'!S49),ISBLANK('Change in Means- Data Input'!T49)),"",'Change in Means- Data Input'!T49-'Change in Means- Data Input'!S49)</f>
        <v>#VALUE!</v>
      </c>
      <c r="K42" s="1" t="str">
        <f>IF('Change in Means- Data Input'!A49="NA","NULL",COUNTIF('Change in Means- Data Input'!A49,"&gt;=3")+COUNTIF('Change in Means- Data Input'!C49,"&gt;=3")+COUNTIF('Change in Means- Data Input'!E49,"&gt;=3")+COUNTIF('Change in Means- Data Input'!G49,"&gt;=3")+COUNTIF('Change in Means- Data Input'!I49,"&gt;=3")+COUNTIF('Change in Means- Data Input'!K49,"&gt;=3")+COUNTIF('Change in Means- Data Input'!M49,"&gt;=3")+COUNTIF('Change in Means- Data Input'!O49,"&gt;=3")+COUNTIF('Change in Means- Data Input'!Q49,"&gt;=3")+COUNTIF('Change in Means- Data Input'!S49,"&gt;=3"))</f>
        <v>NULL</v>
      </c>
      <c r="L42" s="1" t="str">
        <f>IF('Change in Means- Data Input'!B49="NA","NULL",COUNTIF('Change in Means- Data Input'!B49,"&gt;=3")+COUNTIF('Change in Means- Data Input'!D49,"&gt;=3")+COUNTIF('Change in Means- Data Input'!F49,"&gt;=3")+COUNTIF('Change in Means- Data Input'!H49,"&gt;=3")+COUNTIF('Change in Means- Data Input'!J49,"&gt;=3")+COUNTIF('Change in Means- Data Input'!L49,"&gt;=3")+COUNTIF('Change in Means- Data Input'!N49,"&gt;=3")+COUNTIF('Change in Means- Data Input'!P49,"&gt;=3")+COUNTIF('Change in Means- Data Input'!R49,"&gt;=3")+COUNTIF('Change in Means- Data Input'!T49,"&gt;=3"))</f>
        <v>NULL</v>
      </c>
      <c r="M42" s="1" t="str">
        <f>IF(Table37[[#This Row],[Pre]]="NULL","NULL",IF(COUNTIF(A42:J42,"&gt;0"),"Yes","No"))</f>
        <v>NULL</v>
      </c>
      <c r="O42" s="91">
        <v>4</v>
      </c>
      <c r="P42" s="89">
        <f>COUNTIF(Table38[Post],4)</f>
        <v>0</v>
      </c>
      <c r="Q42" s="92" t="e">
        <f>P42/P47</f>
        <v>#DIV/0!</v>
      </c>
      <c r="R42" s="93" t="e">
        <f t="shared" si="3"/>
        <v>#DIV/0!</v>
      </c>
    </row>
    <row r="43" spans="1:18" x14ac:dyDescent="0.2">
      <c r="A43" s="17" t="e">
        <f>IF(OR(ISBLANK('Change in Means- Data Input'!A50), ISBLANK('Change in Means- Data Input'!B50)),"", 'Change in Means- Data Input'!B50-'Change in Means- Data Input'!A50)</f>
        <v>#VALUE!</v>
      </c>
      <c r="B43" s="1" t="e">
        <f>IF(OR(ISBLANK('Change in Means- Data Input'!C50),ISBLANK('Change in Means- Data Input'!D50)),"",'Change in Means- Data Input'!D50-'Change in Means- Data Input'!C50)</f>
        <v>#VALUE!</v>
      </c>
      <c r="C43" s="1" t="e">
        <f>IF(OR(ISBLANK('Change in Means- Data Input'!E50),ISBLANK('Change in Means- Data Input'!F50)),"",'Change in Means- Data Input'!F50-'Change in Means- Data Input'!E50)</f>
        <v>#VALUE!</v>
      </c>
      <c r="D43" s="1" t="e">
        <f>IF(OR(ISBLANK('Change in Means- Data Input'!G50),ISBLANK('Change in Means- Data Input'!H50)),"",'Change in Means- Data Input'!H50-'Change in Means- Data Input'!G50)</f>
        <v>#VALUE!</v>
      </c>
      <c r="E43" s="1" t="e">
        <f>IF(OR(ISBLANK('Change in Means- Data Input'!I50),ISBLANK('Change in Means- Data Input'!J50)),"",'Change in Means- Data Input'!J50-'Change in Means- Data Input'!I50)</f>
        <v>#VALUE!</v>
      </c>
      <c r="F43" s="1" t="e">
        <f>IF(OR(ISBLANK('Change in Means- Data Input'!K50),ISBLANK('Change in Means- Data Input'!L50)),"",'Change in Means- Data Input'!L50-'Change in Means- Data Input'!K50)</f>
        <v>#VALUE!</v>
      </c>
      <c r="G43" s="17" t="e">
        <f>IF(OR(ISBLANK('Change in Means- Data Input'!M50),ISBLANK('Change in Means- Data Input'!N50)),"",'Change in Means- Data Input'!N50-'Change in Means- Data Input'!M50)</f>
        <v>#VALUE!</v>
      </c>
      <c r="H43" s="17" t="e">
        <f>IF(OR(ISBLANK('Change in Means- Data Input'!O50),ISBLANK('Change in Means- Data Input'!P50)),"",'Change in Means- Data Input'!P50-'Change in Means- Data Input'!O50)</f>
        <v>#VALUE!</v>
      </c>
      <c r="I43" s="17" t="e">
        <f>IF(OR(ISBLANK('Change in Means- Data Input'!Q50),ISBLANK('Change in Means- Data Input'!R50)),"",'Change in Means- Data Input'!R50-'Change in Means- Data Input'!Q50)</f>
        <v>#VALUE!</v>
      </c>
      <c r="J43" s="17" t="e">
        <f>IF(OR(ISBLANK('Change in Means- Data Input'!S50),ISBLANK('Change in Means- Data Input'!T50)),"",'Change in Means- Data Input'!T50-'Change in Means- Data Input'!S50)</f>
        <v>#VALUE!</v>
      </c>
      <c r="K43" s="1" t="str">
        <f>IF('Change in Means- Data Input'!A50="NA","NULL",COUNTIF('Change in Means- Data Input'!A50,"&gt;=3")+COUNTIF('Change in Means- Data Input'!C50,"&gt;=3")+COUNTIF('Change in Means- Data Input'!E50,"&gt;=3")+COUNTIF('Change in Means- Data Input'!G50,"&gt;=3")+COUNTIF('Change in Means- Data Input'!I50,"&gt;=3")+COUNTIF('Change in Means- Data Input'!K50,"&gt;=3")+COUNTIF('Change in Means- Data Input'!M50,"&gt;=3")+COUNTIF('Change in Means- Data Input'!O50,"&gt;=3")+COUNTIF('Change in Means- Data Input'!Q50,"&gt;=3")+COUNTIF('Change in Means- Data Input'!S50,"&gt;=3"))</f>
        <v>NULL</v>
      </c>
      <c r="L43" s="1" t="str">
        <f>IF('Change in Means- Data Input'!B50="NA","NULL",COUNTIF('Change in Means- Data Input'!B50,"&gt;=3")+COUNTIF('Change in Means- Data Input'!D50,"&gt;=3")+COUNTIF('Change in Means- Data Input'!F50,"&gt;=3")+COUNTIF('Change in Means- Data Input'!H50,"&gt;=3")+COUNTIF('Change in Means- Data Input'!J50,"&gt;=3")+COUNTIF('Change in Means- Data Input'!L50,"&gt;=3")+COUNTIF('Change in Means- Data Input'!N50,"&gt;=3")+COUNTIF('Change in Means- Data Input'!P50,"&gt;=3")+COUNTIF('Change in Means- Data Input'!R50,"&gt;=3")+COUNTIF('Change in Means- Data Input'!T50,"&gt;=3"))</f>
        <v>NULL</v>
      </c>
      <c r="M43" s="1" t="str">
        <f>IF(Table37[[#This Row],[Pre]]="NULL","NULL",IF(COUNTIF(A43:J43,"&gt;0"),"Yes","No"))</f>
        <v>NULL</v>
      </c>
      <c r="O43" s="91">
        <v>3</v>
      </c>
      <c r="P43" s="89">
        <f>COUNTIF(Table38[Post],3)</f>
        <v>0</v>
      </c>
      <c r="Q43" s="92" t="e">
        <f>P43/P47</f>
        <v>#DIV/0!</v>
      </c>
      <c r="R43" s="93" t="e">
        <f t="shared" si="3"/>
        <v>#DIV/0!</v>
      </c>
    </row>
    <row r="44" spans="1:18" x14ac:dyDescent="0.2">
      <c r="A44" s="17" t="e">
        <f>IF(OR(ISBLANK('Change in Means- Data Input'!A51), ISBLANK('Change in Means- Data Input'!B51)),"", 'Change in Means- Data Input'!B51-'Change in Means- Data Input'!A51)</f>
        <v>#VALUE!</v>
      </c>
      <c r="B44" s="1" t="e">
        <f>IF(OR(ISBLANK('Change in Means- Data Input'!C51),ISBLANK('Change in Means- Data Input'!D51)),"",'Change in Means- Data Input'!D51-'Change in Means- Data Input'!C51)</f>
        <v>#VALUE!</v>
      </c>
      <c r="C44" s="1" t="e">
        <f>IF(OR(ISBLANK('Change in Means- Data Input'!E51),ISBLANK('Change in Means- Data Input'!F51)),"",'Change in Means- Data Input'!F51-'Change in Means- Data Input'!E51)</f>
        <v>#VALUE!</v>
      </c>
      <c r="D44" s="1" t="e">
        <f>IF(OR(ISBLANK('Change in Means- Data Input'!G51),ISBLANK('Change in Means- Data Input'!H51)),"",'Change in Means- Data Input'!H51-'Change in Means- Data Input'!G51)</f>
        <v>#VALUE!</v>
      </c>
      <c r="E44" s="1" t="e">
        <f>IF(OR(ISBLANK('Change in Means- Data Input'!I51),ISBLANK('Change in Means- Data Input'!J51)),"",'Change in Means- Data Input'!J51-'Change in Means- Data Input'!I51)</f>
        <v>#VALUE!</v>
      </c>
      <c r="F44" s="1" t="e">
        <f>IF(OR(ISBLANK('Change in Means- Data Input'!K51),ISBLANK('Change in Means- Data Input'!L51)),"",'Change in Means- Data Input'!L51-'Change in Means- Data Input'!K51)</f>
        <v>#VALUE!</v>
      </c>
      <c r="G44" s="17" t="e">
        <f>IF(OR(ISBLANK('Change in Means- Data Input'!M51),ISBLANK('Change in Means- Data Input'!N51)),"",'Change in Means- Data Input'!N51-'Change in Means- Data Input'!M51)</f>
        <v>#VALUE!</v>
      </c>
      <c r="H44" s="17" t="e">
        <f>IF(OR(ISBLANK('Change in Means- Data Input'!O51),ISBLANK('Change in Means- Data Input'!P51)),"",'Change in Means- Data Input'!P51-'Change in Means- Data Input'!O51)</f>
        <v>#VALUE!</v>
      </c>
      <c r="I44" s="17" t="e">
        <f>IF(OR(ISBLANK('Change in Means- Data Input'!Q51),ISBLANK('Change in Means- Data Input'!R51)),"",'Change in Means- Data Input'!R51-'Change in Means- Data Input'!Q51)</f>
        <v>#VALUE!</v>
      </c>
      <c r="J44" s="17" t="e">
        <f>IF(OR(ISBLANK('Change in Means- Data Input'!S51),ISBLANK('Change in Means- Data Input'!T51)),"",'Change in Means- Data Input'!T51-'Change in Means- Data Input'!S51)</f>
        <v>#VALUE!</v>
      </c>
      <c r="K44" s="1" t="str">
        <f>IF('Change in Means- Data Input'!A51="NA","NULL",COUNTIF('Change in Means- Data Input'!A51,"&gt;=3")+COUNTIF('Change in Means- Data Input'!C51,"&gt;=3")+COUNTIF('Change in Means- Data Input'!E51,"&gt;=3")+COUNTIF('Change in Means- Data Input'!G51,"&gt;=3")+COUNTIF('Change in Means- Data Input'!I51,"&gt;=3")+COUNTIF('Change in Means- Data Input'!K51,"&gt;=3")+COUNTIF('Change in Means- Data Input'!M51,"&gt;=3")+COUNTIF('Change in Means- Data Input'!O51,"&gt;=3")+COUNTIF('Change in Means- Data Input'!Q51,"&gt;=3")+COUNTIF('Change in Means- Data Input'!S51,"&gt;=3"))</f>
        <v>NULL</v>
      </c>
      <c r="L44" s="1" t="str">
        <f>IF('Change in Means- Data Input'!B51="NA","NULL",COUNTIF('Change in Means- Data Input'!B51,"&gt;=3")+COUNTIF('Change in Means- Data Input'!D51,"&gt;=3")+COUNTIF('Change in Means- Data Input'!F51,"&gt;=3")+COUNTIF('Change in Means- Data Input'!H51,"&gt;=3")+COUNTIF('Change in Means- Data Input'!J51,"&gt;=3")+COUNTIF('Change in Means- Data Input'!L51,"&gt;=3")+COUNTIF('Change in Means- Data Input'!N51,"&gt;=3")+COUNTIF('Change in Means- Data Input'!P51,"&gt;=3")+COUNTIF('Change in Means- Data Input'!R51,"&gt;=3")+COUNTIF('Change in Means- Data Input'!T51,"&gt;=3"))</f>
        <v>NULL</v>
      </c>
      <c r="M44" s="1" t="str">
        <f>IF(Table37[[#This Row],[Pre]]="NULL","NULL",IF(COUNTIF(A44:J44,"&gt;0"),"Yes","No"))</f>
        <v>NULL</v>
      </c>
      <c r="O44" s="91">
        <v>2</v>
      </c>
      <c r="P44" s="89">
        <f>COUNTIF(Table38[Post],2)</f>
        <v>0</v>
      </c>
      <c r="Q44" s="92" t="e">
        <f>P44/P47</f>
        <v>#DIV/0!</v>
      </c>
      <c r="R44" s="93" t="e">
        <f t="shared" si="3"/>
        <v>#DIV/0!</v>
      </c>
    </row>
    <row r="45" spans="1:18" x14ac:dyDescent="0.2">
      <c r="A45" s="17" t="e">
        <f>IF(OR(ISBLANK('Change in Means- Data Input'!A52), ISBLANK('Change in Means- Data Input'!B52)),"", 'Change in Means- Data Input'!B52-'Change in Means- Data Input'!A52)</f>
        <v>#VALUE!</v>
      </c>
      <c r="B45" s="1" t="e">
        <f>IF(OR(ISBLANK('Change in Means- Data Input'!C52),ISBLANK('Change in Means- Data Input'!D52)),"",'Change in Means- Data Input'!D52-'Change in Means- Data Input'!C52)</f>
        <v>#VALUE!</v>
      </c>
      <c r="C45" s="1" t="e">
        <f>IF(OR(ISBLANK('Change in Means- Data Input'!E52),ISBLANK('Change in Means- Data Input'!F52)),"",'Change in Means- Data Input'!F52-'Change in Means- Data Input'!E52)</f>
        <v>#VALUE!</v>
      </c>
      <c r="D45" s="1" t="e">
        <f>IF(OR(ISBLANK('Change in Means- Data Input'!G52),ISBLANK('Change in Means- Data Input'!H52)),"",'Change in Means- Data Input'!H52-'Change in Means- Data Input'!G52)</f>
        <v>#VALUE!</v>
      </c>
      <c r="E45" s="1" t="e">
        <f>IF(OR(ISBLANK('Change in Means- Data Input'!I52),ISBLANK('Change in Means- Data Input'!J52)),"",'Change in Means- Data Input'!J52-'Change in Means- Data Input'!I52)</f>
        <v>#VALUE!</v>
      </c>
      <c r="F45" s="1" t="e">
        <f>IF(OR(ISBLANK('Change in Means- Data Input'!K52),ISBLANK('Change in Means- Data Input'!L52)),"",'Change in Means- Data Input'!L52-'Change in Means- Data Input'!K52)</f>
        <v>#VALUE!</v>
      </c>
      <c r="G45" s="17" t="e">
        <f>IF(OR(ISBLANK('Change in Means- Data Input'!M52),ISBLANK('Change in Means- Data Input'!N52)),"",'Change in Means- Data Input'!N52-'Change in Means- Data Input'!M52)</f>
        <v>#VALUE!</v>
      </c>
      <c r="H45" s="17" t="e">
        <f>IF(OR(ISBLANK('Change in Means- Data Input'!O52),ISBLANK('Change in Means- Data Input'!P52)),"",'Change in Means- Data Input'!P52-'Change in Means- Data Input'!O52)</f>
        <v>#VALUE!</v>
      </c>
      <c r="I45" s="17" t="e">
        <f>IF(OR(ISBLANK('Change in Means- Data Input'!Q52),ISBLANK('Change in Means- Data Input'!R52)),"",'Change in Means- Data Input'!R52-'Change in Means- Data Input'!Q52)</f>
        <v>#VALUE!</v>
      </c>
      <c r="J45" s="17" t="e">
        <f>IF(OR(ISBLANK('Change in Means- Data Input'!S52),ISBLANK('Change in Means- Data Input'!T52)),"",'Change in Means- Data Input'!T52-'Change in Means- Data Input'!S52)</f>
        <v>#VALUE!</v>
      </c>
      <c r="K45" s="1" t="str">
        <f>IF('Change in Means- Data Input'!A52="NA","NULL",COUNTIF('Change in Means- Data Input'!A52,"&gt;=3")+COUNTIF('Change in Means- Data Input'!C52,"&gt;=3")+COUNTIF('Change in Means- Data Input'!E52,"&gt;=3")+COUNTIF('Change in Means- Data Input'!G52,"&gt;=3")+COUNTIF('Change in Means- Data Input'!I52,"&gt;=3")+COUNTIF('Change in Means- Data Input'!K52,"&gt;=3")+COUNTIF('Change in Means- Data Input'!M52,"&gt;=3")+COUNTIF('Change in Means- Data Input'!O52,"&gt;=3")+COUNTIF('Change in Means- Data Input'!Q52,"&gt;=3")+COUNTIF('Change in Means- Data Input'!S52,"&gt;=3"))</f>
        <v>NULL</v>
      </c>
      <c r="L45" s="1" t="str">
        <f>IF('Change in Means- Data Input'!B52="NA","NULL",COUNTIF('Change in Means- Data Input'!B52,"&gt;=3")+COUNTIF('Change in Means- Data Input'!D52,"&gt;=3")+COUNTIF('Change in Means- Data Input'!F52,"&gt;=3")+COUNTIF('Change in Means- Data Input'!H52,"&gt;=3")+COUNTIF('Change in Means- Data Input'!J52,"&gt;=3")+COUNTIF('Change in Means- Data Input'!L52,"&gt;=3")+COUNTIF('Change in Means- Data Input'!N52,"&gt;=3")+COUNTIF('Change in Means- Data Input'!P52,"&gt;=3")+COUNTIF('Change in Means- Data Input'!R52,"&gt;=3")+COUNTIF('Change in Means- Data Input'!T52,"&gt;=3"))</f>
        <v>NULL</v>
      </c>
      <c r="M45" s="1" t="str">
        <f>IF(Table37[[#This Row],[Pre]]="NULL","NULL",IF(COUNTIF(A45:J45,"&gt;0"),"Yes","No"))</f>
        <v>NULL</v>
      </c>
      <c r="O45" s="91">
        <v>1</v>
      </c>
      <c r="P45" s="89">
        <f>COUNTIF(Table38[Post],1)</f>
        <v>0</v>
      </c>
      <c r="Q45" s="92" t="e">
        <f>P45/P47</f>
        <v>#DIV/0!</v>
      </c>
      <c r="R45" s="93" t="e">
        <f t="shared" si="3"/>
        <v>#DIV/0!</v>
      </c>
    </row>
    <row r="46" spans="1:18" x14ac:dyDescent="0.2">
      <c r="A46" s="17" t="e">
        <f>IF(OR(ISBLANK('Change in Means- Data Input'!A53), ISBLANK('Change in Means- Data Input'!B53)),"", 'Change in Means- Data Input'!B53-'Change in Means- Data Input'!A53)</f>
        <v>#VALUE!</v>
      </c>
      <c r="B46" s="1" t="e">
        <f>IF(OR(ISBLANK('Change in Means- Data Input'!C53),ISBLANK('Change in Means- Data Input'!D53)),"",'Change in Means- Data Input'!D53-'Change in Means- Data Input'!C53)</f>
        <v>#VALUE!</v>
      </c>
      <c r="C46" s="1" t="e">
        <f>IF(OR(ISBLANK('Change in Means- Data Input'!E53),ISBLANK('Change in Means- Data Input'!F53)),"",'Change in Means- Data Input'!F53-'Change in Means- Data Input'!E53)</f>
        <v>#VALUE!</v>
      </c>
      <c r="D46" s="1" t="e">
        <f>IF(OR(ISBLANK('Change in Means- Data Input'!G53),ISBLANK('Change in Means- Data Input'!H53)),"",'Change in Means- Data Input'!H53-'Change in Means- Data Input'!G53)</f>
        <v>#VALUE!</v>
      </c>
      <c r="E46" s="1" t="e">
        <f>IF(OR(ISBLANK('Change in Means- Data Input'!I53),ISBLANK('Change in Means- Data Input'!J53)),"",'Change in Means- Data Input'!J53-'Change in Means- Data Input'!I53)</f>
        <v>#VALUE!</v>
      </c>
      <c r="F46" s="1" t="e">
        <f>IF(OR(ISBLANK('Change in Means- Data Input'!K53),ISBLANK('Change in Means- Data Input'!L53)),"",'Change in Means- Data Input'!L53-'Change in Means- Data Input'!K53)</f>
        <v>#VALUE!</v>
      </c>
      <c r="G46" s="17" t="e">
        <f>IF(OR(ISBLANK('Change in Means- Data Input'!M53),ISBLANK('Change in Means- Data Input'!N53)),"",'Change in Means- Data Input'!N53-'Change in Means- Data Input'!M53)</f>
        <v>#VALUE!</v>
      </c>
      <c r="H46" s="17" t="e">
        <f>IF(OR(ISBLANK('Change in Means- Data Input'!O53),ISBLANK('Change in Means- Data Input'!P53)),"",'Change in Means- Data Input'!P53-'Change in Means- Data Input'!O53)</f>
        <v>#VALUE!</v>
      </c>
      <c r="I46" s="17" t="e">
        <f>IF(OR(ISBLANK('Change in Means- Data Input'!Q53),ISBLANK('Change in Means- Data Input'!R53)),"",'Change in Means- Data Input'!R53-'Change in Means- Data Input'!Q53)</f>
        <v>#VALUE!</v>
      </c>
      <c r="J46" s="17" t="e">
        <f>IF(OR(ISBLANK('Change in Means- Data Input'!S53),ISBLANK('Change in Means- Data Input'!T53)),"",'Change in Means- Data Input'!T53-'Change in Means- Data Input'!S53)</f>
        <v>#VALUE!</v>
      </c>
      <c r="K46" s="1" t="str">
        <f>IF('Change in Means- Data Input'!A53="NA","NULL",COUNTIF('Change in Means- Data Input'!A53,"&gt;=3")+COUNTIF('Change in Means- Data Input'!C53,"&gt;=3")+COUNTIF('Change in Means- Data Input'!E53,"&gt;=3")+COUNTIF('Change in Means- Data Input'!G53,"&gt;=3")+COUNTIF('Change in Means- Data Input'!I53,"&gt;=3")+COUNTIF('Change in Means- Data Input'!K53,"&gt;=3")+COUNTIF('Change in Means- Data Input'!M53,"&gt;=3")+COUNTIF('Change in Means- Data Input'!O53,"&gt;=3")+COUNTIF('Change in Means- Data Input'!Q53,"&gt;=3")+COUNTIF('Change in Means- Data Input'!S53,"&gt;=3"))</f>
        <v>NULL</v>
      </c>
      <c r="L46" s="1" t="str">
        <f>IF('Change in Means- Data Input'!B53="NA","NULL",COUNTIF('Change in Means- Data Input'!B53,"&gt;=3")+COUNTIF('Change in Means- Data Input'!D53,"&gt;=3")+COUNTIF('Change in Means- Data Input'!F53,"&gt;=3")+COUNTIF('Change in Means- Data Input'!H53,"&gt;=3")+COUNTIF('Change in Means- Data Input'!J53,"&gt;=3")+COUNTIF('Change in Means- Data Input'!L53,"&gt;=3")+COUNTIF('Change in Means- Data Input'!N53,"&gt;=3")+COUNTIF('Change in Means- Data Input'!P53,"&gt;=3")+COUNTIF('Change in Means- Data Input'!R53,"&gt;=3")+COUNTIF('Change in Means- Data Input'!T53,"&gt;=3"))</f>
        <v>NULL</v>
      </c>
      <c r="M46" s="1" t="str">
        <f>IF(Table37[[#This Row],[Pre]]="NULL","NULL",IF(COUNTIF(A46:J46,"&gt;0"),"Yes","No"))</f>
        <v>NULL</v>
      </c>
      <c r="O46" s="91">
        <v>0</v>
      </c>
      <c r="P46" s="89">
        <f>COUNTIF(Table38[Post],0)</f>
        <v>0</v>
      </c>
      <c r="Q46" s="92" t="e">
        <f>P46/P47</f>
        <v>#DIV/0!</v>
      </c>
      <c r="R46" s="93" t="e">
        <f t="shared" si="3"/>
        <v>#DIV/0!</v>
      </c>
    </row>
    <row r="47" spans="1:18" x14ac:dyDescent="0.2">
      <c r="A47" s="17" t="e">
        <f>IF(OR(ISBLANK('Change in Means- Data Input'!A54), ISBLANK('Change in Means- Data Input'!B54)),"", 'Change in Means- Data Input'!B54-'Change in Means- Data Input'!A54)</f>
        <v>#VALUE!</v>
      </c>
      <c r="B47" s="1" t="e">
        <f>IF(OR(ISBLANK('Change in Means- Data Input'!C54),ISBLANK('Change in Means- Data Input'!D54)),"",'Change in Means- Data Input'!D54-'Change in Means- Data Input'!C54)</f>
        <v>#VALUE!</v>
      </c>
      <c r="C47" s="1" t="e">
        <f>IF(OR(ISBLANK('Change in Means- Data Input'!E54),ISBLANK('Change in Means- Data Input'!F54)),"",'Change in Means- Data Input'!F54-'Change in Means- Data Input'!E54)</f>
        <v>#VALUE!</v>
      </c>
      <c r="D47" s="1" t="e">
        <f>IF(OR(ISBLANK('Change in Means- Data Input'!G54),ISBLANK('Change in Means- Data Input'!H54)),"",'Change in Means- Data Input'!H54-'Change in Means- Data Input'!G54)</f>
        <v>#VALUE!</v>
      </c>
      <c r="E47" s="1" t="e">
        <f>IF(OR(ISBLANK('Change in Means- Data Input'!I54),ISBLANK('Change in Means- Data Input'!J54)),"",'Change in Means- Data Input'!J54-'Change in Means- Data Input'!I54)</f>
        <v>#VALUE!</v>
      </c>
      <c r="F47" s="1" t="e">
        <f>IF(OR(ISBLANK('Change in Means- Data Input'!K54),ISBLANK('Change in Means- Data Input'!L54)),"",'Change in Means- Data Input'!L54-'Change in Means- Data Input'!K54)</f>
        <v>#VALUE!</v>
      </c>
      <c r="G47" s="17" t="e">
        <f>IF(OR(ISBLANK('Change in Means- Data Input'!M54),ISBLANK('Change in Means- Data Input'!N54)),"",'Change in Means- Data Input'!N54-'Change in Means- Data Input'!M54)</f>
        <v>#VALUE!</v>
      </c>
      <c r="H47" s="17" t="e">
        <f>IF(OR(ISBLANK('Change in Means- Data Input'!O54),ISBLANK('Change in Means- Data Input'!P54)),"",'Change in Means- Data Input'!P54-'Change in Means- Data Input'!O54)</f>
        <v>#VALUE!</v>
      </c>
      <c r="I47" s="17" t="e">
        <f>IF(OR(ISBLANK('Change in Means- Data Input'!Q54),ISBLANK('Change in Means- Data Input'!R54)),"",'Change in Means- Data Input'!R54-'Change in Means- Data Input'!Q54)</f>
        <v>#VALUE!</v>
      </c>
      <c r="J47" s="17" t="e">
        <f>IF(OR(ISBLANK('Change in Means- Data Input'!S54),ISBLANK('Change in Means- Data Input'!T54)),"",'Change in Means- Data Input'!T54-'Change in Means- Data Input'!S54)</f>
        <v>#VALUE!</v>
      </c>
      <c r="K47" s="1" t="str">
        <f>IF('Change in Means- Data Input'!A54="NA","NULL",COUNTIF('Change in Means- Data Input'!A54,"&gt;=3")+COUNTIF('Change in Means- Data Input'!C54,"&gt;=3")+COUNTIF('Change in Means- Data Input'!E54,"&gt;=3")+COUNTIF('Change in Means- Data Input'!G54,"&gt;=3")+COUNTIF('Change in Means- Data Input'!I54,"&gt;=3")+COUNTIF('Change in Means- Data Input'!K54,"&gt;=3")+COUNTIF('Change in Means- Data Input'!M54,"&gt;=3")+COUNTIF('Change in Means- Data Input'!O54,"&gt;=3")+COUNTIF('Change in Means- Data Input'!Q54,"&gt;=3")+COUNTIF('Change in Means- Data Input'!S54,"&gt;=3"))</f>
        <v>NULL</v>
      </c>
      <c r="L47" s="1" t="str">
        <f>IF('Change in Means- Data Input'!B54="NA","NULL",COUNTIF('Change in Means- Data Input'!B54,"&gt;=3")+COUNTIF('Change in Means- Data Input'!D54,"&gt;=3")+COUNTIF('Change in Means- Data Input'!F54,"&gt;=3")+COUNTIF('Change in Means- Data Input'!H54,"&gt;=3")+COUNTIF('Change in Means- Data Input'!J54,"&gt;=3")+COUNTIF('Change in Means- Data Input'!L54,"&gt;=3")+COUNTIF('Change in Means- Data Input'!N54,"&gt;=3")+COUNTIF('Change in Means- Data Input'!P54,"&gt;=3")+COUNTIF('Change in Means- Data Input'!R54,"&gt;=3")+COUNTIF('Change in Means- Data Input'!T54,"&gt;=3"))</f>
        <v>NULL</v>
      </c>
      <c r="M47" s="1" t="str">
        <f>IF(Table37[[#This Row],[Pre]]="NULL","NULL",IF(COUNTIF(A47:J47,"&gt;0"),"Yes","No"))</f>
        <v>NULL</v>
      </c>
      <c r="O47" s="89" t="s">
        <v>55</v>
      </c>
      <c r="P47" s="94">
        <f>SUM(P36:P46)</f>
        <v>0</v>
      </c>
      <c r="Q47" s="92" t="e">
        <f>SUM(Q40:Q46)</f>
        <v>#DIV/0!</v>
      </c>
      <c r="R47" s="159"/>
    </row>
    <row r="48" spans="1:18" x14ac:dyDescent="0.2">
      <c r="A48" s="17" t="e">
        <f>IF(OR(ISBLANK('Change in Means- Data Input'!A55), ISBLANK('Change in Means- Data Input'!B55)),"", 'Change in Means- Data Input'!B55-'Change in Means- Data Input'!A55)</f>
        <v>#VALUE!</v>
      </c>
      <c r="B48" s="1" t="e">
        <f>IF(OR(ISBLANK('Change in Means- Data Input'!C55),ISBLANK('Change in Means- Data Input'!D55)),"",'Change in Means- Data Input'!D55-'Change in Means- Data Input'!C55)</f>
        <v>#VALUE!</v>
      </c>
      <c r="C48" s="1" t="e">
        <f>IF(OR(ISBLANK('Change in Means- Data Input'!E55),ISBLANK('Change in Means- Data Input'!F55)),"",'Change in Means- Data Input'!F55-'Change in Means- Data Input'!E55)</f>
        <v>#VALUE!</v>
      </c>
      <c r="D48" s="1" t="e">
        <f>IF(OR(ISBLANK('Change in Means- Data Input'!G55),ISBLANK('Change in Means- Data Input'!H55)),"",'Change in Means- Data Input'!H55-'Change in Means- Data Input'!G55)</f>
        <v>#VALUE!</v>
      </c>
      <c r="E48" s="1" t="e">
        <f>IF(OR(ISBLANK('Change in Means- Data Input'!I55),ISBLANK('Change in Means- Data Input'!J55)),"",'Change in Means- Data Input'!J55-'Change in Means- Data Input'!I55)</f>
        <v>#VALUE!</v>
      </c>
      <c r="F48" s="1" t="e">
        <f>IF(OR(ISBLANK('Change in Means- Data Input'!K55),ISBLANK('Change in Means- Data Input'!L55)),"",'Change in Means- Data Input'!L55-'Change in Means- Data Input'!K55)</f>
        <v>#VALUE!</v>
      </c>
      <c r="G48" s="17" t="e">
        <f>IF(OR(ISBLANK('Change in Means- Data Input'!M55),ISBLANK('Change in Means- Data Input'!N55)),"",'Change in Means- Data Input'!N55-'Change in Means- Data Input'!M55)</f>
        <v>#VALUE!</v>
      </c>
      <c r="H48" s="17" t="e">
        <f>IF(OR(ISBLANK('Change in Means- Data Input'!O55),ISBLANK('Change in Means- Data Input'!P55)),"",'Change in Means- Data Input'!P55-'Change in Means- Data Input'!O55)</f>
        <v>#VALUE!</v>
      </c>
      <c r="I48" s="17" t="e">
        <f>IF(OR(ISBLANK('Change in Means- Data Input'!Q55),ISBLANK('Change in Means- Data Input'!R55)),"",'Change in Means- Data Input'!R55-'Change in Means- Data Input'!Q55)</f>
        <v>#VALUE!</v>
      </c>
      <c r="J48" s="17" t="e">
        <f>IF(OR(ISBLANK('Change in Means- Data Input'!S55),ISBLANK('Change in Means- Data Input'!T55)),"",'Change in Means- Data Input'!T55-'Change in Means- Data Input'!S55)</f>
        <v>#VALUE!</v>
      </c>
      <c r="K48" s="1" t="str">
        <f>IF('Change in Means- Data Input'!A55="NA","NULL",COUNTIF('Change in Means- Data Input'!A55,"&gt;=3")+COUNTIF('Change in Means- Data Input'!C55,"&gt;=3")+COUNTIF('Change in Means- Data Input'!E55,"&gt;=3")+COUNTIF('Change in Means- Data Input'!G55,"&gt;=3")+COUNTIF('Change in Means- Data Input'!I55,"&gt;=3")+COUNTIF('Change in Means- Data Input'!K55,"&gt;=3")+COUNTIF('Change in Means- Data Input'!M55,"&gt;=3")+COUNTIF('Change in Means- Data Input'!O55,"&gt;=3")+COUNTIF('Change in Means- Data Input'!Q55,"&gt;=3")+COUNTIF('Change in Means- Data Input'!S55,"&gt;=3"))</f>
        <v>NULL</v>
      </c>
      <c r="L48" s="1" t="str">
        <f>IF('Change in Means- Data Input'!B55="NA","NULL",COUNTIF('Change in Means- Data Input'!B55,"&gt;=3")+COUNTIF('Change in Means- Data Input'!D55,"&gt;=3")+COUNTIF('Change in Means- Data Input'!F55,"&gt;=3")+COUNTIF('Change in Means- Data Input'!H55,"&gt;=3")+COUNTIF('Change in Means- Data Input'!J55,"&gt;=3")+COUNTIF('Change in Means- Data Input'!L55,"&gt;=3")+COUNTIF('Change in Means- Data Input'!N55,"&gt;=3")+COUNTIF('Change in Means- Data Input'!P55,"&gt;=3")+COUNTIF('Change in Means- Data Input'!R55,"&gt;=3")+COUNTIF('Change in Means- Data Input'!T55,"&gt;=3"))</f>
        <v>NULL</v>
      </c>
      <c r="M48" s="1" t="str">
        <f>IF(Table37[[#This Row],[Pre]]="NULL","NULL",IF(COUNTIF(A48:J48,"&gt;0"),"Yes","No"))</f>
        <v>NULL</v>
      </c>
      <c r="O48" s="11"/>
      <c r="P48" s="1"/>
    </row>
    <row r="49" spans="1:16" x14ac:dyDescent="0.2">
      <c r="A49" s="17" t="e">
        <f>IF(OR(ISBLANK('Change in Means- Data Input'!A56), ISBLANK('Change in Means- Data Input'!B56)),"", 'Change in Means- Data Input'!B56-'Change in Means- Data Input'!A56)</f>
        <v>#VALUE!</v>
      </c>
      <c r="B49" s="1" t="e">
        <f>IF(OR(ISBLANK('Change in Means- Data Input'!C56),ISBLANK('Change in Means- Data Input'!D56)),"",'Change in Means- Data Input'!D56-'Change in Means- Data Input'!C56)</f>
        <v>#VALUE!</v>
      </c>
      <c r="C49" s="1" t="e">
        <f>IF(OR(ISBLANK('Change in Means- Data Input'!E56),ISBLANK('Change in Means- Data Input'!F56)),"",'Change in Means- Data Input'!F56-'Change in Means- Data Input'!E56)</f>
        <v>#VALUE!</v>
      </c>
      <c r="D49" s="1" t="e">
        <f>IF(OR(ISBLANK('Change in Means- Data Input'!G56),ISBLANK('Change in Means- Data Input'!H56)),"",'Change in Means- Data Input'!H56-'Change in Means- Data Input'!G56)</f>
        <v>#VALUE!</v>
      </c>
      <c r="E49" s="1" t="e">
        <f>IF(OR(ISBLANK('Change in Means- Data Input'!I56),ISBLANK('Change in Means- Data Input'!J56)),"",'Change in Means- Data Input'!J56-'Change in Means- Data Input'!I56)</f>
        <v>#VALUE!</v>
      </c>
      <c r="F49" s="1" t="e">
        <f>IF(OR(ISBLANK('Change in Means- Data Input'!K56),ISBLANK('Change in Means- Data Input'!L56)),"",'Change in Means- Data Input'!L56-'Change in Means- Data Input'!K56)</f>
        <v>#VALUE!</v>
      </c>
      <c r="G49" s="17" t="e">
        <f>IF(OR(ISBLANK('Change in Means- Data Input'!M56),ISBLANK('Change in Means- Data Input'!N56)),"",'Change in Means- Data Input'!N56-'Change in Means- Data Input'!M56)</f>
        <v>#VALUE!</v>
      </c>
      <c r="H49" s="17" t="e">
        <f>IF(OR(ISBLANK('Change in Means- Data Input'!O56),ISBLANK('Change in Means- Data Input'!P56)),"",'Change in Means- Data Input'!P56-'Change in Means- Data Input'!O56)</f>
        <v>#VALUE!</v>
      </c>
      <c r="I49" s="17" t="e">
        <f>IF(OR(ISBLANK('Change in Means- Data Input'!Q56),ISBLANK('Change in Means- Data Input'!R56)),"",'Change in Means- Data Input'!R56-'Change in Means- Data Input'!Q56)</f>
        <v>#VALUE!</v>
      </c>
      <c r="J49" s="17" t="e">
        <f>IF(OR(ISBLANK('Change in Means- Data Input'!S56),ISBLANK('Change in Means- Data Input'!T56)),"",'Change in Means- Data Input'!T56-'Change in Means- Data Input'!S56)</f>
        <v>#VALUE!</v>
      </c>
      <c r="K49" s="1" t="str">
        <f>IF('Change in Means- Data Input'!A56="NA","NULL",COUNTIF('Change in Means- Data Input'!A56,"&gt;=3")+COUNTIF('Change in Means- Data Input'!C56,"&gt;=3")+COUNTIF('Change in Means- Data Input'!E56,"&gt;=3")+COUNTIF('Change in Means- Data Input'!G56,"&gt;=3")+COUNTIF('Change in Means- Data Input'!I56,"&gt;=3")+COUNTIF('Change in Means- Data Input'!K56,"&gt;=3")+COUNTIF('Change in Means- Data Input'!M56,"&gt;=3")+COUNTIF('Change in Means- Data Input'!O56,"&gt;=3")+COUNTIF('Change in Means- Data Input'!Q56,"&gt;=3")+COUNTIF('Change in Means- Data Input'!S56,"&gt;=3"))</f>
        <v>NULL</v>
      </c>
      <c r="L49" s="1" t="str">
        <f>IF('Change in Means- Data Input'!B56="NA","NULL",COUNTIF('Change in Means- Data Input'!B56,"&gt;=3")+COUNTIF('Change in Means- Data Input'!D56,"&gt;=3")+COUNTIF('Change in Means- Data Input'!F56,"&gt;=3")+COUNTIF('Change in Means- Data Input'!H56,"&gt;=3")+COUNTIF('Change in Means- Data Input'!J56,"&gt;=3")+COUNTIF('Change in Means- Data Input'!L56,"&gt;=3")+COUNTIF('Change in Means- Data Input'!N56,"&gt;=3")+COUNTIF('Change in Means- Data Input'!P56,"&gt;=3")+COUNTIF('Change in Means- Data Input'!R56,"&gt;=3")+COUNTIF('Change in Means- Data Input'!T56,"&gt;=3"))</f>
        <v>NULL</v>
      </c>
      <c r="M49" s="1" t="str">
        <f>IF(Table37[[#This Row],[Pre]]="NULL","NULL",IF(COUNTIF(A49:J49,"&gt;0"),"Yes","No"))</f>
        <v>NULL</v>
      </c>
      <c r="O49" s="11"/>
      <c r="P49" s="1"/>
    </row>
    <row r="50" spans="1:16" x14ac:dyDescent="0.2">
      <c r="A50" s="17" t="e">
        <f>IF(OR(ISBLANK('Change in Means- Data Input'!A57), ISBLANK('Change in Means- Data Input'!B57)),"", 'Change in Means- Data Input'!B57-'Change in Means- Data Input'!A57)</f>
        <v>#VALUE!</v>
      </c>
      <c r="B50" s="1" t="e">
        <f>IF(OR(ISBLANK('Change in Means- Data Input'!C57),ISBLANK('Change in Means- Data Input'!D57)),"",'Change in Means- Data Input'!D57-'Change in Means- Data Input'!C57)</f>
        <v>#VALUE!</v>
      </c>
      <c r="C50" s="1" t="e">
        <f>IF(OR(ISBLANK('Change in Means- Data Input'!E57),ISBLANK('Change in Means- Data Input'!F57)),"",'Change in Means- Data Input'!F57-'Change in Means- Data Input'!E57)</f>
        <v>#VALUE!</v>
      </c>
      <c r="D50" s="1" t="e">
        <f>IF(OR(ISBLANK('Change in Means- Data Input'!G57),ISBLANK('Change in Means- Data Input'!H57)),"",'Change in Means- Data Input'!H57-'Change in Means- Data Input'!G57)</f>
        <v>#VALUE!</v>
      </c>
      <c r="E50" s="1" t="e">
        <f>IF(OR(ISBLANK('Change in Means- Data Input'!I57),ISBLANK('Change in Means- Data Input'!J57)),"",'Change in Means- Data Input'!J57-'Change in Means- Data Input'!I57)</f>
        <v>#VALUE!</v>
      </c>
      <c r="F50" s="1" t="e">
        <f>IF(OR(ISBLANK('Change in Means- Data Input'!K57),ISBLANK('Change in Means- Data Input'!L57)),"",'Change in Means- Data Input'!L57-'Change in Means- Data Input'!K57)</f>
        <v>#VALUE!</v>
      </c>
      <c r="G50" s="17" t="e">
        <f>IF(OR(ISBLANK('Change in Means- Data Input'!M57),ISBLANK('Change in Means- Data Input'!N57)),"",'Change in Means- Data Input'!N57-'Change in Means- Data Input'!M57)</f>
        <v>#VALUE!</v>
      </c>
      <c r="H50" s="17" t="e">
        <f>IF(OR(ISBLANK('Change in Means- Data Input'!O57),ISBLANK('Change in Means- Data Input'!P57)),"",'Change in Means- Data Input'!P57-'Change in Means- Data Input'!O57)</f>
        <v>#VALUE!</v>
      </c>
      <c r="I50" s="17" t="e">
        <f>IF(OR(ISBLANK('Change in Means- Data Input'!Q57),ISBLANK('Change in Means- Data Input'!R57)),"",'Change in Means- Data Input'!R57-'Change in Means- Data Input'!Q57)</f>
        <v>#VALUE!</v>
      </c>
      <c r="J50" s="17" t="e">
        <f>IF(OR(ISBLANK('Change in Means- Data Input'!S57),ISBLANK('Change in Means- Data Input'!T57)),"",'Change in Means- Data Input'!T57-'Change in Means- Data Input'!S57)</f>
        <v>#VALUE!</v>
      </c>
      <c r="K50" s="1" t="str">
        <f>IF('Change in Means- Data Input'!A57="NA","NULL",COUNTIF('Change in Means- Data Input'!A57,"&gt;=3")+COUNTIF('Change in Means- Data Input'!C57,"&gt;=3")+COUNTIF('Change in Means- Data Input'!E57,"&gt;=3")+COUNTIF('Change in Means- Data Input'!G57,"&gt;=3")+COUNTIF('Change in Means- Data Input'!I57,"&gt;=3")+COUNTIF('Change in Means- Data Input'!K57,"&gt;=3")+COUNTIF('Change in Means- Data Input'!M57,"&gt;=3")+COUNTIF('Change in Means- Data Input'!O57,"&gt;=3")+COUNTIF('Change in Means- Data Input'!Q57,"&gt;=3")+COUNTIF('Change in Means- Data Input'!S57,"&gt;=3"))</f>
        <v>NULL</v>
      </c>
      <c r="L50" s="1" t="str">
        <f>IF('Change in Means- Data Input'!B57="NA","NULL",COUNTIF('Change in Means- Data Input'!B57,"&gt;=3")+COUNTIF('Change in Means- Data Input'!D57,"&gt;=3")+COUNTIF('Change in Means- Data Input'!F57,"&gt;=3")+COUNTIF('Change in Means- Data Input'!H57,"&gt;=3")+COUNTIF('Change in Means- Data Input'!J57,"&gt;=3")+COUNTIF('Change in Means- Data Input'!L57,"&gt;=3")+COUNTIF('Change in Means- Data Input'!N57,"&gt;=3")+COUNTIF('Change in Means- Data Input'!P57,"&gt;=3")+COUNTIF('Change in Means- Data Input'!R57,"&gt;=3")+COUNTIF('Change in Means- Data Input'!T57,"&gt;=3"))</f>
        <v>NULL</v>
      </c>
      <c r="M50" s="1" t="str">
        <f>IF(Table37[[#This Row],[Pre]]="NULL","NULL",IF(COUNTIF(A50:J50,"&gt;0"),"Yes","No"))</f>
        <v>NULL</v>
      </c>
      <c r="O50" s="11"/>
      <c r="P50" s="1"/>
    </row>
    <row r="51" spans="1:16" x14ac:dyDescent="0.2">
      <c r="A51" s="17" t="e">
        <f>IF(OR(ISBLANK('Change in Means- Data Input'!A58), ISBLANK('Change in Means- Data Input'!B58)),"", 'Change in Means- Data Input'!B58-'Change in Means- Data Input'!A58)</f>
        <v>#VALUE!</v>
      </c>
      <c r="B51" s="1" t="e">
        <f>IF(OR(ISBLANK('Change in Means- Data Input'!C58),ISBLANK('Change in Means- Data Input'!D58)),"",'Change in Means- Data Input'!D58-'Change in Means- Data Input'!C58)</f>
        <v>#VALUE!</v>
      </c>
      <c r="C51" s="1" t="e">
        <f>IF(OR(ISBLANK('Change in Means- Data Input'!E58),ISBLANK('Change in Means- Data Input'!F58)),"",'Change in Means- Data Input'!F58-'Change in Means- Data Input'!E58)</f>
        <v>#VALUE!</v>
      </c>
      <c r="D51" s="1" t="e">
        <f>IF(OR(ISBLANK('Change in Means- Data Input'!G58),ISBLANK('Change in Means- Data Input'!H58)),"",'Change in Means- Data Input'!H58-'Change in Means- Data Input'!G58)</f>
        <v>#VALUE!</v>
      </c>
      <c r="E51" s="1" t="e">
        <f>IF(OR(ISBLANK('Change in Means- Data Input'!I58),ISBLANK('Change in Means- Data Input'!J58)),"",'Change in Means- Data Input'!J58-'Change in Means- Data Input'!I58)</f>
        <v>#VALUE!</v>
      </c>
      <c r="F51" s="1" t="e">
        <f>IF(OR(ISBLANK('Change in Means- Data Input'!K58),ISBLANK('Change in Means- Data Input'!L58)),"",'Change in Means- Data Input'!L58-'Change in Means- Data Input'!K58)</f>
        <v>#VALUE!</v>
      </c>
      <c r="G51" s="17" t="e">
        <f>IF(OR(ISBLANK('Change in Means- Data Input'!M58),ISBLANK('Change in Means- Data Input'!N58)),"",'Change in Means- Data Input'!N58-'Change in Means- Data Input'!M58)</f>
        <v>#VALUE!</v>
      </c>
      <c r="H51" s="17" t="e">
        <f>IF(OR(ISBLANK('Change in Means- Data Input'!O58),ISBLANK('Change in Means- Data Input'!P58)),"",'Change in Means- Data Input'!P58-'Change in Means- Data Input'!O58)</f>
        <v>#VALUE!</v>
      </c>
      <c r="I51" s="17" t="e">
        <f>IF(OR(ISBLANK('Change in Means- Data Input'!Q58),ISBLANK('Change in Means- Data Input'!R58)),"",'Change in Means- Data Input'!R58-'Change in Means- Data Input'!Q58)</f>
        <v>#VALUE!</v>
      </c>
      <c r="J51" s="17" t="e">
        <f>IF(OR(ISBLANK('Change in Means- Data Input'!S58),ISBLANK('Change in Means- Data Input'!T58)),"",'Change in Means- Data Input'!T58-'Change in Means- Data Input'!S58)</f>
        <v>#VALUE!</v>
      </c>
      <c r="K51" s="1" t="str">
        <f>IF('Change in Means- Data Input'!A58="NA","NULL",COUNTIF('Change in Means- Data Input'!A58,"&gt;=3")+COUNTIF('Change in Means- Data Input'!C58,"&gt;=3")+COUNTIF('Change in Means- Data Input'!E58,"&gt;=3")+COUNTIF('Change in Means- Data Input'!G58,"&gt;=3")+COUNTIF('Change in Means- Data Input'!I58,"&gt;=3")+COUNTIF('Change in Means- Data Input'!K58,"&gt;=3")+COUNTIF('Change in Means- Data Input'!M58,"&gt;=3")+COUNTIF('Change in Means- Data Input'!O58,"&gt;=3")+COUNTIF('Change in Means- Data Input'!Q58,"&gt;=3")+COUNTIF('Change in Means- Data Input'!S58,"&gt;=3"))</f>
        <v>NULL</v>
      </c>
      <c r="L51" s="1" t="str">
        <f>IF('Change in Means- Data Input'!B58="NA","NULL",COUNTIF('Change in Means- Data Input'!B58,"&gt;=3")+COUNTIF('Change in Means- Data Input'!D58,"&gt;=3")+COUNTIF('Change in Means- Data Input'!F58,"&gt;=3")+COUNTIF('Change in Means- Data Input'!H58,"&gt;=3")+COUNTIF('Change in Means- Data Input'!J58,"&gt;=3")+COUNTIF('Change in Means- Data Input'!L58,"&gt;=3")+COUNTIF('Change in Means- Data Input'!N58,"&gt;=3")+COUNTIF('Change in Means- Data Input'!P58,"&gt;=3")+COUNTIF('Change in Means- Data Input'!R58,"&gt;=3")+COUNTIF('Change in Means- Data Input'!T58,"&gt;=3"))</f>
        <v>NULL</v>
      </c>
      <c r="M51" s="1" t="str">
        <f>IF(Table37[[#This Row],[Pre]]="NULL","NULL",IF(COUNTIF(A51:J51,"&gt;0"),"Yes","No"))</f>
        <v>NULL</v>
      </c>
    </row>
    <row r="52" spans="1:16" x14ac:dyDescent="0.2">
      <c r="A52" s="17" t="e">
        <f>IF(OR(ISBLANK('Change in Means- Data Input'!A59), ISBLANK('Change in Means- Data Input'!B59)),"", 'Change in Means- Data Input'!B59-'Change in Means- Data Input'!A59)</f>
        <v>#VALUE!</v>
      </c>
      <c r="B52" s="1" t="e">
        <f>IF(OR(ISBLANK('Change in Means- Data Input'!C59),ISBLANK('Change in Means- Data Input'!D59)),"",'Change in Means- Data Input'!D59-'Change in Means- Data Input'!C59)</f>
        <v>#VALUE!</v>
      </c>
      <c r="C52" s="1" t="e">
        <f>IF(OR(ISBLANK('Change in Means- Data Input'!E59),ISBLANK('Change in Means- Data Input'!F59)),"",'Change in Means- Data Input'!F59-'Change in Means- Data Input'!E59)</f>
        <v>#VALUE!</v>
      </c>
      <c r="D52" s="1" t="e">
        <f>IF(OR(ISBLANK('Change in Means- Data Input'!G59),ISBLANK('Change in Means- Data Input'!H59)),"",'Change in Means- Data Input'!H59-'Change in Means- Data Input'!G59)</f>
        <v>#VALUE!</v>
      </c>
      <c r="E52" s="1" t="e">
        <f>IF(OR(ISBLANK('Change in Means- Data Input'!I59),ISBLANK('Change in Means- Data Input'!J59)),"",'Change in Means- Data Input'!J59-'Change in Means- Data Input'!I59)</f>
        <v>#VALUE!</v>
      </c>
      <c r="F52" s="1" t="e">
        <f>IF(OR(ISBLANK('Change in Means- Data Input'!K59),ISBLANK('Change in Means- Data Input'!L59)),"",'Change in Means- Data Input'!L59-'Change in Means- Data Input'!K59)</f>
        <v>#VALUE!</v>
      </c>
      <c r="G52" s="17" t="e">
        <f>IF(OR(ISBLANK('Change in Means- Data Input'!M59),ISBLANK('Change in Means- Data Input'!N59)),"",'Change in Means- Data Input'!N59-'Change in Means- Data Input'!M59)</f>
        <v>#VALUE!</v>
      </c>
      <c r="H52" s="17" t="e">
        <f>IF(OR(ISBLANK('Change in Means- Data Input'!O59),ISBLANK('Change in Means- Data Input'!P59)),"",'Change in Means- Data Input'!P59-'Change in Means- Data Input'!O59)</f>
        <v>#VALUE!</v>
      </c>
      <c r="I52" s="17" t="e">
        <f>IF(OR(ISBLANK('Change in Means- Data Input'!Q59),ISBLANK('Change in Means- Data Input'!R59)),"",'Change in Means- Data Input'!R59-'Change in Means- Data Input'!Q59)</f>
        <v>#VALUE!</v>
      </c>
      <c r="J52" s="17" t="e">
        <f>IF(OR(ISBLANK('Change in Means- Data Input'!S59),ISBLANK('Change in Means- Data Input'!T59)),"",'Change in Means- Data Input'!T59-'Change in Means- Data Input'!S59)</f>
        <v>#VALUE!</v>
      </c>
      <c r="K52" s="1" t="str">
        <f>IF('Change in Means- Data Input'!A59="NA","NULL",COUNTIF('Change in Means- Data Input'!A59,"&gt;=3")+COUNTIF('Change in Means- Data Input'!C59,"&gt;=3")+COUNTIF('Change in Means- Data Input'!E59,"&gt;=3")+COUNTIF('Change in Means- Data Input'!G59,"&gt;=3")+COUNTIF('Change in Means- Data Input'!I59,"&gt;=3")+COUNTIF('Change in Means- Data Input'!K59,"&gt;=3")+COUNTIF('Change in Means- Data Input'!M59,"&gt;=3")+COUNTIF('Change in Means- Data Input'!O59,"&gt;=3")+COUNTIF('Change in Means- Data Input'!Q59,"&gt;=3")+COUNTIF('Change in Means- Data Input'!S59,"&gt;=3"))</f>
        <v>NULL</v>
      </c>
      <c r="L52" s="1" t="str">
        <f>IF('Change in Means- Data Input'!B59="NA","NULL",COUNTIF('Change in Means- Data Input'!B59,"&gt;=3")+COUNTIF('Change in Means- Data Input'!D59,"&gt;=3")+COUNTIF('Change in Means- Data Input'!F59,"&gt;=3")+COUNTIF('Change in Means- Data Input'!H59,"&gt;=3")+COUNTIF('Change in Means- Data Input'!J59,"&gt;=3")+COUNTIF('Change in Means- Data Input'!L59,"&gt;=3")+COUNTIF('Change in Means- Data Input'!N59,"&gt;=3")+COUNTIF('Change in Means- Data Input'!P59,"&gt;=3")+COUNTIF('Change in Means- Data Input'!R59,"&gt;=3")+COUNTIF('Change in Means- Data Input'!T59,"&gt;=3"))</f>
        <v>NULL</v>
      </c>
      <c r="M52" s="1" t="str">
        <f>IF(Table37[[#This Row],[Pre]]="NULL","NULL",IF(COUNTIF(A52:J52,"&gt;0"),"Yes","No"))</f>
        <v>NULL</v>
      </c>
    </row>
    <row r="53" spans="1:16" x14ac:dyDescent="0.2">
      <c r="A53" s="17" t="e">
        <f>IF(OR(ISBLANK('Change in Means- Data Input'!A60), ISBLANK('Change in Means- Data Input'!B60)),"", 'Change in Means- Data Input'!B60-'Change in Means- Data Input'!A60)</f>
        <v>#VALUE!</v>
      </c>
      <c r="B53" s="1" t="e">
        <f>IF(OR(ISBLANK('Change in Means- Data Input'!C60),ISBLANK('Change in Means- Data Input'!D60)),"",'Change in Means- Data Input'!D60-'Change in Means- Data Input'!C60)</f>
        <v>#VALUE!</v>
      </c>
      <c r="C53" s="1" t="e">
        <f>IF(OR(ISBLANK('Change in Means- Data Input'!E60),ISBLANK('Change in Means- Data Input'!F60)),"",'Change in Means- Data Input'!F60-'Change in Means- Data Input'!E60)</f>
        <v>#VALUE!</v>
      </c>
      <c r="D53" s="1" t="e">
        <f>IF(OR(ISBLANK('Change in Means- Data Input'!G60),ISBLANK('Change in Means- Data Input'!H60)),"",'Change in Means- Data Input'!H60-'Change in Means- Data Input'!G60)</f>
        <v>#VALUE!</v>
      </c>
      <c r="E53" s="1" t="e">
        <f>IF(OR(ISBLANK('Change in Means- Data Input'!I60),ISBLANK('Change in Means- Data Input'!J60)),"",'Change in Means- Data Input'!J60-'Change in Means- Data Input'!I60)</f>
        <v>#VALUE!</v>
      </c>
      <c r="F53" s="1" t="e">
        <f>IF(OR(ISBLANK('Change in Means- Data Input'!K60),ISBLANK('Change in Means- Data Input'!L60)),"",'Change in Means- Data Input'!L60-'Change in Means- Data Input'!K60)</f>
        <v>#VALUE!</v>
      </c>
      <c r="G53" s="17" t="e">
        <f>IF(OR(ISBLANK('Change in Means- Data Input'!M60),ISBLANK('Change in Means- Data Input'!N60)),"",'Change in Means- Data Input'!N60-'Change in Means- Data Input'!M60)</f>
        <v>#VALUE!</v>
      </c>
      <c r="H53" s="17" t="e">
        <f>IF(OR(ISBLANK('Change in Means- Data Input'!O60),ISBLANK('Change in Means- Data Input'!P60)),"",'Change in Means- Data Input'!P60-'Change in Means- Data Input'!O60)</f>
        <v>#VALUE!</v>
      </c>
      <c r="I53" s="17" t="e">
        <f>IF(OR(ISBLANK('Change in Means- Data Input'!Q60),ISBLANK('Change in Means- Data Input'!R60)),"",'Change in Means- Data Input'!R60-'Change in Means- Data Input'!Q60)</f>
        <v>#VALUE!</v>
      </c>
      <c r="J53" s="17" t="e">
        <f>IF(OR(ISBLANK('Change in Means- Data Input'!S60),ISBLANK('Change in Means- Data Input'!T60)),"",'Change in Means- Data Input'!T60-'Change in Means- Data Input'!S60)</f>
        <v>#VALUE!</v>
      </c>
      <c r="K53" s="1" t="str">
        <f>IF('Change in Means- Data Input'!A60="NA","NULL",COUNTIF('Change in Means- Data Input'!A60,"&gt;=3")+COUNTIF('Change in Means- Data Input'!C60,"&gt;=3")+COUNTIF('Change in Means- Data Input'!E60,"&gt;=3")+COUNTIF('Change in Means- Data Input'!G60,"&gt;=3")+COUNTIF('Change in Means- Data Input'!I60,"&gt;=3")+COUNTIF('Change in Means- Data Input'!K60,"&gt;=3")+COUNTIF('Change in Means- Data Input'!M60,"&gt;=3")+COUNTIF('Change in Means- Data Input'!O60,"&gt;=3")+COUNTIF('Change in Means- Data Input'!Q60,"&gt;=3")+COUNTIF('Change in Means- Data Input'!S60,"&gt;=3"))</f>
        <v>NULL</v>
      </c>
      <c r="L53" s="1" t="str">
        <f>IF('Change in Means- Data Input'!B60="NA","NULL",COUNTIF('Change in Means- Data Input'!B60,"&gt;=3")+COUNTIF('Change in Means- Data Input'!D60,"&gt;=3")+COUNTIF('Change in Means- Data Input'!F60,"&gt;=3")+COUNTIF('Change in Means- Data Input'!H60,"&gt;=3")+COUNTIF('Change in Means- Data Input'!J60,"&gt;=3")+COUNTIF('Change in Means- Data Input'!L60,"&gt;=3")+COUNTIF('Change in Means- Data Input'!N60,"&gt;=3")+COUNTIF('Change in Means- Data Input'!P60,"&gt;=3")+COUNTIF('Change in Means- Data Input'!R60,"&gt;=3")+COUNTIF('Change in Means- Data Input'!T60,"&gt;=3"))</f>
        <v>NULL</v>
      </c>
      <c r="M53" s="1" t="str">
        <f>IF(Table37[[#This Row],[Pre]]="NULL","NULL",IF(COUNTIF(A53:J53,"&gt;0"),"Yes","No"))</f>
        <v>NULL</v>
      </c>
    </row>
    <row r="54" spans="1:16" x14ac:dyDescent="0.2">
      <c r="A54" s="17" t="e">
        <f>IF(OR(ISBLANK('Change in Means- Data Input'!A61), ISBLANK('Change in Means- Data Input'!B61)),"", 'Change in Means- Data Input'!B61-'Change in Means- Data Input'!A61)</f>
        <v>#VALUE!</v>
      </c>
      <c r="B54" s="1" t="e">
        <f>IF(OR(ISBLANK('Change in Means- Data Input'!C61),ISBLANK('Change in Means- Data Input'!D61)),"",'Change in Means- Data Input'!D61-'Change in Means- Data Input'!C61)</f>
        <v>#VALUE!</v>
      </c>
      <c r="C54" s="1" t="e">
        <f>IF(OR(ISBLANK('Change in Means- Data Input'!E61),ISBLANK('Change in Means- Data Input'!F61)),"",'Change in Means- Data Input'!F61-'Change in Means- Data Input'!E61)</f>
        <v>#VALUE!</v>
      </c>
      <c r="D54" s="1" t="e">
        <f>IF(OR(ISBLANK('Change in Means- Data Input'!G61),ISBLANK('Change in Means- Data Input'!H61)),"",'Change in Means- Data Input'!H61-'Change in Means- Data Input'!G61)</f>
        <v>#VALUE!</v>
      </c>
      <c r="E54" s="1" t="e">
        <f>IF(OR(ISBLANK('Change in Means- Data Input'!I61),ISBLANK('Change in Means- Data Input'!J61)),"",'Change in Means- Data Input'!J61-'Change in Means- Data Input'!I61)</f>
        <v>#VALUE!</v>
      </c>
      <c r="F54" s="1" t="e">
        <f>IF(OR(ISBLANK('Change in Means- Data Input'!K61),ISBLANK('Change in Means- Data Input'!L61)),"",'Change in Means- Data Input'!L61-'Change in Means- Data Input'!K61)</f>
        <v>#VALUE!</v>
      </c>
      <c r="G54" s="17" t="e">
        <f>IF(OR(ISBLANK('Change in Means- Data Input'!M61),ISBLANK('Change in Means- Data Input'!N61)),"",'Change in Means- Data Input'!N61-'Change in Means- Data Input'!M61)</f>
        <v>#VALUE!</v>
      </c>
      <c r="H54" s="17" t="e">
        <f>IF(OR(ISBLANK('Change in Means- Data Input'!O61),ISBLANK('Change in Means- Data Input'!P61)),"",'Change in Means- Data Input'!P61-'Change in Means- Data Input'!O61)</f>
        <v>#VALUE!</v>
      </c>
      <c r="I54" s="17" t="e">
        <f>IF(OR(ISBLANK('Change in Means- Data Input'!Q61),ISBLANK('Change in Means- Data Input'!R61)),"",'Change in Means- Data Input'!R61-'Change in Means- Data Input'!Q61)</f>
        <v>#VALUE!</v>
      </c>
      <c r="J54" s="17" t="e">
        <f>IF(OR(ISBLANK('Change in Means- Data Input'!S61),ISBLANK('Change in Means- Data Input'!T61)),"",'Change in Means- Data Input'!T61-'Change in Means- Data Input'!S61)</f>
        <v>#VALUE!</v>
      </c>
      <c r="K54" s="1" t="str">
        <f>IF('Change in Means- Data Input'!A61="NA","NULL",COUNTIF('Change in Means- Data Input'!A61,"&gt;=3")+COUNTIF('Change in Means- Data Input'!C61,"&gt;=3")+COUNTIF('Change in Means- Data Input'!E61,"&gt;=3")+COUNTIF('Change in Means- Data Input'!G61,"&gt;=3")+COUNTIF('Change in Means- Data Input'!I61,"&gt;=3")+COUNTIF('Change in Means- Data Input'!K61,"&gt;=3")+COUNTIF('Change in Means- Data Input'!M61,"&gt;=3")+COUNTIF('Change in Means- Data Input'!O61,"&gt;=3")+COUNTIF('Change in Means- Data Input'!Q61,"&gt;=3")+COUNTIF('Change in Means- Data Input'!S61,"&gt;=3"))</f>
        <v>NULL</v>
      </c>
      <c r="L54" s="1" t="str">
        <f>IF('Change in Means- Data Input'!B61="NA","NULL",COUNTIF('Change in Means- Data Input'!B61,"&gt;=3")+COUNTIF('Change in Means- Data Input'!D61,"&gt;=3")+COUNTIF('Change in Means- Data Input'!F61,"&gt;=3")+COUNTIF('Change in Means- Data Input'!H61,"&gt;=3")+COUNTIF('Change in Means- Data Input'!J61,"&gt;=3")+COUNTIF('Change in Means- Data Input'!L61,"&gt;=3")+COUNTIF('Change in Means- Data Input'!N61,"&gt;=3")+COUNTIF('Change in Means- Data Input'!P61,"&gt;=3")+COUNTIF('Change in Means- Data Input'!R61,"&gt;=3")+COUNTIF('Change in Means- Data Input'!T61,"&gt;=3"))</f>
        <v>NULL</v>
      </c>
      <c r="M54" s="1" t="str">
        <f>IF(Table37[[#This Row],[Pre]]="NULL","NULL",IF(COUNTIF(A54:J54,"&gt;0"),"Yes","No"))</f>
        <v>NULL</v>
      </c>
    </row>
    <row r="55" spans="1:16" x14ac:dyDescent="0.2">
      <c r="A55" s="17" t="e">
        <f>IF(OR(ISBLANK('Change in Means- Data Input'!A62), ISBLANK('Change in Means- Data Input'!B62)),"", 'Change in Means- Data Input'!B62-'Change in Means- Data Input'!A62)</f>
        <v>#VALUE!</v>
      </c>
      <c r="B55" s="1" t="e">
        <f>IF(OR(ISBLANK('Change in Means- Data Input'!C62),ISBLANK('Change in Means- Data Input'!D62)),"",'Change in Means- Data Input'!D62-'Change in Means- Data Input'!C62)</f>
        <v>#VALUE!</v>
      </c>
      <c r="C55" s="1" t="e">
        <f>IF(OR(ISBLANK('Change in Means- Data Input'!E62),ISBLANK('Change in Means- Data Input'!F62)),"",'Change in Means- Data Input'!F62-'Change in Means- Data Input'!E62)</f>
        <v>#VALUE!</v>
      </c>
      <c r="D55" s="1" t="e">
        <f>IF(OR(ISBLANK('Change in Means- Data Input'!G62),ISBLANK('Change in Means- Data Input'!H62)),"",'Change in Means- Data Input'!H62-'Change in Means- Data Input'!G62)</f>
        <v>#VALUE!</v>
      </c>
      <c r="E55" s="1" t="e">
        <f>IF(OR(ISBLANK('Change in Means- Data Input'!I62),ISBLANK('Change in Means- Data Input'!J62)),"",'Change in Means- Data Input'!J62-'Change in Means- Data Input'!I62)</f>
        <v>#VALUE!</v>
      </c>
      <c r="F55" s="1" t="e">
        <f>IF(OR(ISBLANK('Change in Means- Data Input'!K62),ISBLANK('Change in Means- Data Input'!L62)),"",'Change in Means- Data Input'!L62-'Change in Means- Data Input'!K62)</f>
        <v>#VALUE!</v>
      </c>
      <c r="G55" s="17" t="e">
        <f>IF(OR(ISBLANK('Change in Means- Data Input'!M62),ISBLANK('Change in Means- Data Input'!N62)),"",'Change in Means- Data Input'!N62-'Change in Means- Data Input'!M62)</f>
        <v>#VALUE!</v>
      </c>
      <c r="H55" s="17" t="e">
        <f>IF(OR(ISBLANK('Change in Means- Data Input'!O62),ISBLANK('Change in Means- Data Input'!P62)),"",'Change in Means- Data Input'!P62-'Change in Means- Data Input'!O62)</f>
        <v>#VALUE!</v>
      </c>
      <c r="I55" s="17" t="e">
        <f>IF(OR(ISBLANK('Change in Means- Data Input'!Q62),ISBLANK('Change in Means- Data Input'!R62)),"",'Change in Means- Data Input'!R62-'Change in Means- Data Input'!Q62)</f>
        <v>#VALUE!</v>
      </c>
      <c r="J55" s="17" t="e">
        <f>IF(OR(ISBLANK('Change in Means- Data Input'!S62),ISBLANK('Change in Means- Data Input'!T62)),"",'Change in Means- Data Input'!T62-'Change in Means- Data Input'!S62)</f>
        <v>#VALUE!</v>
      </c>
      <c r="K55" s="1" t="str">
        <f>IF('Change in Means- Data Input'!A62="NA","NULL",COUNTIF('Change in Means- Data Input'!A62,"&gt;=3")+COUNTIF('Change in Means- Data Input'!C62,"&gt;=3")+COUNTIF('Change in Means- Data Input'!E62,"&gt;=3")+COUNTIF('Change in Means- Data Input'!G62,"&gt;=3")+COUNTIF('Change in Means- Data Input'!I62,"&gt;=3")+COUNTIF('Change in Means- Data Input'!K62,"&gt;=3")+COUNTIF('Change in Means- Data Input'!M62,"&gt;=3")+COUNTIF('Change in Means- Data Input'!O62,"&gt;=3")+COUNTIF('Change in Means- Data Input'!Q62,"&gt;=3")+COUNTIF('Change in Means- Data Input'!S62,"&gt;=3"))</f>
        <v>NULL</v>
      </c>
      <c r="L55" s="1" t="str">
        <f>IF('Change in Means- Data Input'!B62="NA","NULL",COUNTIF('Change in Means- Data Input'!B62,"&gt;=3")+COUNTIF('Change in Means- Data Input'!D62,"&gt;=3")+COUNTIF('Change in Means- Data Input'!F62,"&gt;=3")+COUNTIF('Change in Means- Data Input'!H62,"&gt;=3")+COUNTIF('Change in Means- Data Input'!J62,"&gt;=3")+COUNTIF('Change in Means- Data Input'!L62,"&gt;=3")+COUNTIF('Change in Means- Data Input'!N62,"&gt;=3")+COUNTIF('Change in Means- Data Input'!P62,"&gt;=3")+COUNTIF('Change in Means- Data Input'!R62,"&gt;=3")+COUNTIF('Change in Means- Data Input'!T62,"&gt;=3"))</f>
        <v>NULL</v>
      </c>
      <c r="M55" s="1" t="str">
        <f>IF(Table37[[#This Row],[Pre]]="NULL","NULL",IF(COUNTIF(A55:J55,"&gt;0"),"Yes","No"))</f>
        <v>NULL</v>
      </c>
    </row>
    <row r="56" spans="1:16" x14ac:dyDescent="0.2">
      <c r="A56" s="17" t="e">
        <f>IF(OR(ISBLANK('Change in Means- Data Input'!A63), ISBLANK('Change in Means- Data Input'!B63)),"", 'Change in Means- Data Input'!B63-'Change in Means- Data Input'!A63)</f>
        <v>#VALUE!</v>
      </c>
      <c r="B56" s="1" t="e">
        <f>IF(OR(ISBLANK('Change in Means- Data Input'!C63),ISBLANK('Change in Means- Data Input'!D63)),"",'Change in Means- Data Input'!D63-'Change in Means- Data Input'!C63)</f>
        <v>#VALUE!</v>
      </c>
      <c r="C56" s="1" t="e">
        <f>IF(OR(ISBLANK('Change in Means- Data Input'!E63),ISBLANK('Change in Means- Data Input'!F63)),"",'Change in Means- Data Input'!F63-'Change in Means- Data Input'!E63)</f>
        <v>#VALUE!</v>
      </c>
      <c r="D56" s="1" t="e">
        <f>IF(OR(ISBLANK('Change in Means- Data Input'!G63),ISBLANK('Change in Means- Data Input'!H63)),"",'Change in Means- Data Input'!H63-'Change in Means- Data Input'!G63)</f>
        <v>#VALUE!</v>
      </c>
      <c r="E56" s="1" t="e">
        <f>IF(OR(ISBLANK('Change in Means- Data Input'!I63),ISBLANK('Change in Means- Data Input'!J63)),"",'Change in Means- Data Input'!J63-'Change in Means- Data Input'!I63)</f>
        <v>#VALUE!</v>
      </c>
      <c r="F56" s="1" t="e">
        <f>IF(OR(ISBLANK('Change in Means- Data Input'!K63),ISBLANK('Change in Means- Data Input'!L63)),"",'Change in Means- Data Input'!L63-'Change in Means- Data Input'!K63)</f>
        <v>#VALUE!</v>
      </c>
      <c r="G56" s="17" t="e">
        <f>IF(OR(ISBLANK('Change in Means- Data Input'!M63),ISBLANK('Change in Means- Data Input'!N63)),"",'Change in Means- Data Input'!N63-'Change in Means- Data Input'!M63)</f>
        <v>#VALUE!</v>
      </c>
      <c r="H56" s="17" t="e">
        <f>IF(OR(ISBLANK('Change in Means- Data Input'!O63),ISBLANK('Change in Means- Data Input'!P63)),"",'Change in Means- Data Input'!P63-'Change in Means- Data Input'!O63)</f>
        <v>#VALUE!</v>
      </c>
      <c r="I56" s="17" t="e">
        <f>IF(OR(ISBLANK('Change in Means- Data Input'!Q63),ISBLANK('Change in Means- Data Input'!R63)),"",'Change in Means- Data Input'!R63-'Change in Means- Data Input'!Q63)</f>
        <v>#VALUE!</v>
      </c>
      <c r="J56" s="17" t="e">
        <f>IF(OR(ISBLANK('Change in Means- Data Input'!S63),ISBLANK('Change in Means- Data Input'!T63)),"",'Change in Means- Data Input'!T63-'Change in Means- Data Input'!S63)</f>
        <v>#VALUE!</v>
      </c>
      <c r="K56" s="1" t="str">
        <f>IF('Change in Means- Data Input'!A63="NA","NULL",COUNTIF('Change in Means- Data Input'!A63,"&gt;=3")+COUNTIF('Change in Means- Data Input'!C63,"&gt;=3")+COUNTIF('Change in Means- Data Input'!E63,"&gt;=3")+COUNTIF('Change in Means- Data Input'!G63,"&gt;=3")+COUNTIF('Change in Means- Data Input'!I63,"&gt;=3")+COUNTIF('Change in Means- Data Input'!K63,"&gt;=3")+COUNTIF('Change in Means- Data Input'!M63,"&gt;=3")+COUNTIF('Change in Means- Data Input'!O63,"&gt;=3")+COUNTIF('Change in Means- Data Input'!Q63,"&gt;=3")+COUNTIF('Change in Means- Data Input'!S63,"&gt;=3"))</f>
        <v>NULL</v>
      </c>
      <c r="L56" s="1" t="str">
        <f>IF('Change in Means- Data Input'!B63="NA","NULL",COUNTIF('Change in Means- Data Input'!B63,"&gt;=3")+COUNTIF('Change in Means- Data Input'!D63,"&gt;=3")+COUNTIF('Change in Means- Data Input'!F63,"&gt;=3")+COUNTIF('Change in Means- Data Input'!H63,"&gt;=3")+COUNTIF('Change in Means- Data Input'!J63,"&gt;=3")+COUNTIF('Change in Means- Data Input'!L63,"&gt;=3")+COUNTIF('Change in Means- Data Input'!N63,"&gt;=3")+COUNTIF('Change in Means- Data Input'!P63,"&gt;=3")+COUNTIF('Change in Means- Data Input'!R63,"&gt;=3")+COUNTIF('Change in Means- Data Input'!T63,"&gt;=3"))</f>
        <v>NULL</v>
      </c>
      <c r="M56" s="1" t="str">
        <f>IF(Table37[[#This Row],[Pre]]="NULL","NULL",IF(COUNTIF(A56:J56,"&gt;0"),"Yes","No"))</f>
        <v>NULL</v>
      </c>
    </row>
    <row r="57" spans="1:16" x14ac:dyDescent="0.2">
      <c r="A57" s="17" t="e">
        <f>IF(OR(ISBLANK('Change in Means- Data Input'!A64), ISBLANK('Change in Means- Data Input'!B64)),"", 'Change in Means- Data Input'!B64-'Change in Means- Data Input'!A64)</f>
        <v>#VALUE!</v>
      </c>
      <c r="B57" s="1" t="e">
        <f>IF(OR(ISBLANK('Change in Means- Data Input'!C64),ISBLANK('Change in Means- Data Input'!D64)),"",'Change in Means- Data Input'!D64-'Change in Means- Data Input'!C64)</f>
        <v>#VALUE!</v>
      </c>
      <c r="C57" s="1" t="e">
        <f>IF(OR(ISBLANK('Change in Means- Data Input'!E64),ISBLANK('Change in Means- Data Input'!F64)),"",'Change in Means- Data Input'!F64-'Change in Means- Data Input'!E64)</f>
        <v>#VALUE!</v>
      </c>
      <c r="D57" s="1" t="e">
        <f>IF(OR(ISBLANK('Change in Means- Data Input'!G64),ISBLANK('Change in Means- Data Input'!H64)),"",'Change in Means- Data Input'!H64-'Change in Means- Data Input'!G64)</f>
        <v>#VALUE!</v>
      </c>
      <c r="E57" s="1" t="e">
        <f>IF(OR(ISBLANK('Change in Means- Data Input'!I64),ISBLANK('Change in Means- Data Input'!J64)),"",'Change in Means- Data Input'!J64-'Change in Means- Data Input'!I64)</f>
        <v>#VALUE!</v>
      </c>
      <c r="F57" s="1" t="e">
        <f>IF(OR(ISBLANK('Change in Means- Data Input'!K64),ISBLANK('Change in Means- Data Input'!L64)),"",'Change in Means- Data Input'!L64-'Change in Means- Data Input'!K64)</f>
        <v>#VALUE!</v>
      </c>
      <c r="G57" s="17" t="e">
        <f>IF(OR(ISBLANK('Change in Means- Data Input'!M64),ISBLANK('Change in Means- Data Input'!N64)),"",'Change in Means- Data Input'!N64-'Change in Means- Data Input'!M64)</f>
        <v>#VALUE!</v>
      </c>
      <c r="H57" s="17" t="e">
        <f>IF(OR(ISBLANK('Change in Means- Data Input'!O64),ISBLANK('Change in Means- Data Input'!P64)),"",'Change in Means- Data Input'!P64-'Change in Means- Data Input'!O64)</f>
        <v>#VALUE!</v>
      </c>
      <c r="I57" s="17" t="e">
        <f>IF(OR(ISBLANK('Change in Means- Data Input'!Q64),ISBLANK('Change in Means- Data Input'!R64)),"",'Change in Means- Data Input'!R64-'Change in Means- Data Input'!Q64)</f>
        <v>#VALUE!</v>
      </c>
      <c r="J57" s="17" t="e">
        <f>IF(OR(ISBLANK('Change in Means- Data Input'!S64),ISBLANK('Change in Means- Data Input'!T64)),"",'Change in Means- Data Input'!T64-'Change in Means- Data Input'!S64)</f>
        <v>#VALUE!</v>
      </c>
      <c r="K57" s="1" t="str">
        <f>IF('Change in Means- Data Input'!A64="NA","NULL",COUNTIF('Change in Means- Data Input'!A64,"&gt;=3")+COUNTIF('Change in Means- Data Input'!C64,"&gt;=3")+COUNTIF('Change in Means- Data Input'!E64,"&gt;=3")+COUNTIF('Change in Means- Data Input'!G64,"&gt;=3")+COUNTIF('Change in Means- Data Input'!I64,"&gt;=3")+COUNTIF('Change in Means- Data Input'!K64,"&gt;=3")+COUNTIF('Change in Means- Data Input'!M64,"&gt;=3")+COUNTIF('Change in Means- Data Input'!O64,"&gt;=3")+COUNTIF('Change in Means- Data Input'!Q64,"&gt;=3")+COUNTIF('Change in Means- Data Input'!S64,"&gt;=3"))</f>
        <v>NULL</v>
      </c>
      <c r="L57" s="1" t="str">
        <f>IF('Change in Means- Data Input'!B64="NA","NULL",COUNTIF('Change in Means- Data Input'!B64,"&gt;=3")+COUNTIF('Change in Means- Data Input'!D64,"&gt;=3")+COUNTIF('Change in Means- Data Input'!F64,"&gt;=3")+COUNTIF('Change in Means- Data Input'!H64,"&gt;=3")+COUNTIF('Change in Means- Data Input'!J64,"&gt;=3")+COUNTIF('Change in Means- Data Input'!L64,"&gt;=3")+COUNTIF('Change in Means- Data Input'!N64,"&gt;=3")+COUNTIF('Change in Means- Data Input'!P64,"&gt;=3")+COUNTIF('Change in Means- Data Input'!R64,"&gt;=3")+COUNTIF('Change in Means- Data Input'!T64,"&gt;=3"))</f>
        <v>NULL</v>
      </c>
      <c r="M57" s="1" t="str">
        <f>IF(Table37[[#This Row],[Pre]]="NULL","NULL",IF(COUNTIF(A57:J57,"&gt;0"),"Yes","No"))</f>
        <v>NULL</v>
      </c>
    </row>
    <row r="58" spans="1:16" x14ac:dyDescent="0.2">
      <c r="A58" s="17" t="e">
        <f>IF(OR(ISBLANK('Change in Means- Data Input'!A65), ISBLANK('Change in Means- Data Input'!B65)),"", 'Change in Means- Data Input'!B65-'Change in Means- Data Input'!A65)</f>
        <v>#VALUE!</v>
      </c>
      <c r="B58" s="1" t="e">
        <f>IF(OR(ISBLANK('Change in Means- Data Input'!C65),ISBLANK('Change in Means- Data Input'!D65)),"",'Change in Means- Data Input'!D65-'Change in Means- Data Input'!C65)</f>
        <v>#VALUE!</v>
      </c>
      <c r="C58" s="1" t="e">
        <f>IF(OR(ISBLANK('Change in Means- Data Input'!E65),ISBLANK('Change in Means- Data Input'!F65)),"",'Change in Means- Data Input'!F65-'Change in Means- Data Input'!E65)</f>
        <v>#VALUE!</v>
      </c>
      <c r="D58" s="1" t="e">
        <f>IF(OR(ISBLANK('Change in Means- Data Input'!G65),ISBLANK('Change in Means- Data Input'!H65)),"",'Change in Means- Data Input'!H65-'Change in Means- Data Input'!G65)</f>
        <v>#VALUE!</v>
      </c>
      <c r="E58" s="1" t="e">
        <f>IF(OR(ISBLANK('Change in Means- Data Input'!I65),ISBLANK('Change in Means- Data Input'!J65)),"",'Change in Means- Data Input'!J65-'Change in Means- Data Input'!I65)</f>
        <v>#VALUE!</v>
      </c>
      <c r="F58" s="1" t="e">
        <f>IF(OR(ISBLANK('Change in Means- Data Input'!K65),ISBLANK('Change in Means- Data Input'!L65)),"",'Change in Means- Data Input'!L65-'Change in Means- Data Input'!K65)</f>
        <v>#VALUE!</v>
      </c>
      <c r="G58" s="17" t="e">
        <f>IF(OR(ISBLANK('Change in Means- Data Input'!M65),ISBLANK('Change in Means- Data Input'!N65)),"",'Change in Means- Data Input'!N65-'Change in Means- Data Input'!M65)</f>
        <v>#VALUE!</v>
      </c>
      <c r="H58" s="17" t="e">
        <f>IF(OR(ISBLANK('Change in Means- Data Input'!O65),ISBLANK('Change in Means- Data Input'!P65)),"",'Change in Means- Data Input'!P65-'Change in Means- Data Input'!O65)</f>
        <v>#VALUE!</v>
      </c>
      <c r="I58" s="17" t="e">
        <f>IF(OR(ISBLANK('Change in Means- Data Input'!Q65),ISBLANK('Change in Means- Data Input'!R65)),"",'Change in Means- Data Input'!R65-'Change in Means- Data Input'!Q65)</f>
        <v>#VALUE!</v>
      </c>
      <c r="J58" s="17" t="e">
        <f>IF(OR(ISBLANK('Change in Means- Data Input'!S65),ISBLANK('Change in Means- Data Input'!T65)),"",'Change in Means- Data Input'!T65-'Change in Means- Data Input'!S65)</f>
        <v>#VALUE!</v>
      </c>
      <c r="K58" s="1" t="str">
        <f>IF('Change in Means- Data Input'!A65="NA","NULL",COUNTIF('Change in Means- Data Input'!A65,"&gt;=3")+COUNTIF('Change in Means- Data Input'!C65,"&gt;=3")+COUNTIF('Change in Means- Data Input'!E65,"&gt;=3")+COUNTIF('Change in Means- Data Input'!G65,"&gt;=3")+COUNTIF('Change in Means- Data Input'!I65,"&gt;=3")+COUNTIF('Change in Means- Data Input'!K65,"&gt;=3")+COUNTIF('Change in Means- Data Input'!M65,"&gt;=3")+COUNTIF('Change in Means- Data Input'!O65,"&gt;=3")+COUNTIF('Change in Means- Data Input'!Q65,"&gt;=3")+COUNTIF('Change in Means- Data Input'!S65,"&gt;=3"))</f>
        <v>NULL</v>
      </c>
      <c r="L58" s="1" t="str">
        <f>IF('Change in Means- Data Input'!B65="NA","NULL",COUNTIF('Change in Means- Data Input'!B65,"&gt;=3")+COUNTIF('Change in Means- Data Input'!D65,"&gt;=3")+COUNTIF('Change in Means- Data Input'!F65,"&gt;=3")+COUNTIF('Change in Means- Data Input'!H65,"&gt;=3")+COUNTIF('Change in Means- Data Input'!J65,"&gt;=3")+COUNTIF('Change in Means- Data Input'!L65,"&gt;=3")+COUNTIF('Change in Means- Data Input'!N65,"&gt;=3")+COUNTIF('Change in Means- Data Input'!P65,"&gt;=3")+COUNTIF('Change in Means- Data Input'!R65,"&gt;=3")+COUNTIF('Change in Means- Data Input'!T65,"&gt;=3"))</f>
        <v>NULL</v>
      </c>
      <c r="M58" s="1" t="str">
        <f>IF(Table37[[#This Row],[Pre]]="NULL","NULL",IF(COUNTIF(A58:J58,"&gt;0"),"Yes","No"))</f>
        <v>NULL</v>
      </c>
    </row>
    <row r="59" spans="1:16" x14ac:dyDescent="0.2">
      <c r="A59" s="17" t="e">
        <f>IF(OR(ISBLANK('Change in Means- Data Input'!A66), ISBLANK('Change in Means- Data Input'!B66)),"", 'Change in Means- Data Input'!B66-'Change in Means- Data Input'!A66)</f>
        <v>#VALUE!</v>
      </c>
      <c r="B59" s="1" t="e">
        <f>IF(OR(ISBLANK('Change in Means- Data Input'!C66),ISBLANK('Change in Means- Data Input'!D66)),"",'Change in Means- Data Input'!D66-'Change in Means- Data Input'!C66)</f>
        <v>#VALUE!</v>
      </c>
      <c r="C59" s="1" t="e">
        <f>IF(OR(ISBLANK('Change in Means- Data Input'!E66),ISBLANK('Change in Means- Data Input'!F66)),"",'Change in Means- Data Input'!F66-'Change in Means- Data Input'!E66)</f>
        <v>#VALUE!</v>
      </c>
      <c r="D59" s="1" t="e">
        <f>IF(OR(ISBLANK('Change in Means- Data Input'!G66),ISBLANK('Change in Means- Data Input'!H66)),"",'Change in Means- Data Input'!H66-'Change in Means- Data Input'!G66)</f>
        <v>#VALUE!</v>
      </c>
      <c r="E59" s="1" t="e">
        <f>IF(OR(ISBLANK('Change in Means- Data Input'!I66),ISBLANK('Change in Means- Data Input'!J66)),"",'Change in Means- Data Input'!J66-'Change in Means- Data Input'!I66)</f>
        <v>#VALUE!</v>
      </c>
      <c r="F59" s="1" t="e">
        <f>IF(OR(ISBLANK('Change in Means- Data Input'!K66),ISBLANK('Change in Means- Data Input'!L66)),"",'Change in Means- Data Input'!L66-'Change in Means- Data Input'!K66)</f>
        <v>#VALUE!</v>
      </c>
      <c r="G59" s="17" t="e">
        <f>IF(OR(ISBLANK('Change in Means- Data Input'!M66),ISBLANK('Change in Means- Data Input'!N66)),"",'Change in Means- Data Input'!N66-'Change in Means- Data Input'!M66)</f>
        <v>#VALUE!</v>
      </c>
      <c r="H59" s="17" t="e">
        <f>IF(OR(ISBLANK('Change in Means- Data Input'!O66),ISBLANK('Change in Means- Data Input'!P66)),"",'Change in Means- Data Input'!P66-'Change in Means- Data Input'!O66)</f>
        <v>#VALUE!</v>
      </c>
      <c r="I59" s="17" t="e">
        <f>IF(OR(ISBLANK('Change in Means- Data Input'!Q66),ISBLANK('Change in Means- Data Input'!R66)),"",'Change in Means- Data Input'!R66-'Change in Means- Data Input'!Q66)</f>
        <v>#VALUE!</v>
      </c>
      <c r="J59" s="17" t="e">
        <f>IF(OR(ISBLANK('Change in Means- Data Input'!S66),ISBLANK('Change in Means- Data Input'!T66)),"",'Change in Means- Data Input'!T66-'Change in Means- Data Input'!S66)</f>
        <v>#VALUE!</v>
      </c>
      <c r="K59" s="1" t="str">
        <f>IF('Change in Means- Data Input'!A66="NA","NULL",COUNTIF('Change in Means- Data Input'!A66,"&gt;=3")+COUNTIF('Change in Means- Data Input'!C66,"&gt;=3")+COUNTIF('Change in Means- Data Input'!E66,"&gt;=3")+COUNTIF('Change in Means- Data Input'!G66,"&gt;=3")+COUNTIF('Change in Means- Data Input'!I66,"&gt;=3")+COUNTIF('Change in Means- Data Input'!K66,"&gt;=3")+COUNTIF('Change in Means- Data Input'!M66,"&gt;=3")+COUNTIF('Change in Means- Data Input'!O66,"&gt;=3")+COUNTIF('Change in Means- Data Input'!Q66,"&gt;=3")+COUNTIF('Change in Means- Data Input'!S66,"&gt;=3"))</f>
        <v>NULL</v>
      </c>
      <c r="L59" s="1" t="str">
        <f>IF('Change in Means- Data Input'!B66="NA","NULL",COUNTIF('Change in Means- Data Input'!B66,"&gt;=3")+COUNTIF('Change in Means- Data Input'!D66,"&gt;=3")+COUNTIF('Change in Means- Data Input'!F66,"&gt;=3")+COUNTIF('Change in Means- Data Input'!H66,"&gt;=3")+COUNTIF('Change in Means- Data Input'!J66,"&gt;=3")+COUNTIF('Change in Means- Data Input'!L66,"&gt;=3")+COUNTIF('Change in Means- Data Input'!N66,"&gt;=3")+COUNTIF('Change in Means- Data Input'!P66,"&gt;=3")+COUNTIF('Change in Means- Data Input'!R66,"&gt;=3")+COUNTIF('Change in Means- Data Input'!T66,"&gt;=3"))</f>
        <v>NULL</v>
      </c>
      <c r="M59" s="1" t="str">
        <f>IF(Table37[[#This Row],[Pre]]="NULL","NULL",IF(COUNTIF(A59:J59,"&gt;0"),"Yes","No"))</f>
        <v>NULL</v>
      </c>
    </row>
    <row r="60" spans="1:16" x14ac:dyDescent="0.2">
      <c r="A60" s="17" t="e">
        <f>IF(OR(ISBLANK('Change in Means- Data Input'!A67), ISBLANK('Change in Means- Data Input'!B67)),"", 'Change in Means- Data Input'!B67-'Change in Means- Data Input'!A67)</f>
        <v>#VALUE!</v>
      </c>
      <c r="B60" s="1" t="e">
        <f>IF(OR(ISBLANK('Change in Means- Data Input'!C67),ISBLANK('Change in Means- Data Input'!D67)),"",'Change in Means- Data Input'!D67-'Change in Means- Data Input'!C67)</f>
        <v>#VALUE!</v>
      </c>
      <c r="C60" s="1" t="e">
        <f>IF(OR(ISBLANK('Change in Means- Data Input'!E67),ISBLANK('Change in Means- Data Input'!F67)),"",'Change in Means- Data Input'!F67-'Change in Means- Data Input'!E67)</f>
        <v>#VALUE!</v>
      </c>
      <c r="D60" s="1" t="e">
        <f>IF(OR(ISBLANK('Change in Means- Data Input'!G67),ISBLANK('Change in Means- Data Input'!H67)),"",'Change in Means- Data Input'!H67-'Change in Means- Data Input'!G67)</f>
        <v>#VALUE!</v>
      </c>
      <c r="E60" s="1" t="e">
        <f>IF(OR(ISBLANK('Change in Means- Data Input'!I67),ISBLANK('Change in Means- Data Input'!J67)),"",'Change in Means- Data Input'!J67-'Change in Means- Data Input'!I67)</f>
        <v>#VALUE!</v>
      </c>
      <c r="F60" s="1" t="e">
        <f>IF(OR(ISBLANK('Change in Means- Data Input'!K67),ISBLANK('Change in Means- Data Input'!L67)),"",'Change in Means- Data Input'!L67-'Change in Means- Data Input'!K67)</f>
        <v>#VALUE!</v>
      </c>
      <c r="G60" s="17" t="e">
        <f>IF(OR(ISBLANK('Change in Means- Data Input'!M67),ISBLANK('Change in Means- Data Input'!N67)),"",'Change in Means- Data Input'!N67-'Change in Means- Data Input'!M67)</f>
        <v>#VALUE!</v>
      </c>
      <c r="H60" s="17" t="e">
        <f>IF(OR(ISBLANK('Change in Means- Data Input'!O67),ISBLANK('Change in Means- Data Input'!P67)),"",'Change in Means- Data Input'!P67-'Change in Means- Data Input'!O67)</f>
        <v>#VALUE!</v>
      </c>
      <c r="I60" s="17" t="e">
        <f>IF(OR(ISBLANK('Change in Means- Data Input'!Q67),ISBLANK('Change in Means- Data Input'!R67)),"",'Change in Means- Data Input'!R67-'Change in Means- Data Input'!Q67)</f>
        <v>#VALUE!</v>
      </c>
      <c r="J60" s="17" t="e">
        <f>IF(OR(ISBLANK('Change in Means- Data Input'!S67),ISBLANK('Change in Means- Data Input'!T67)),"",'Change in Means- Data Input'!T67-'Change in Means- Data Input'!S67)</f>
        <v>#VALUE!</v>
      </c>
      <c r="K60" s="1" t="str">
        <f>IF('Change in Means- Data Input'!A67="NA","NULL",COUNTIF('Change in Means- Data Input'!A67,"&gt;=3")+COUNTIF('Change in Means- Data Input'!C67,"&gt;=3")+COUNTIF('Change in Means- Data Input'!E67,"&gt;=3")+COUNTIF('Change in Means- Data Input'!G67,"&gt;=3")+COUNTIF('Change in Means- Data Input'!I67,"&gt;=3")+COUNTIF('Change in Means- Data Input'!K67,"&gt;=3")+COUNTIF('Change in Means- Data Input'!M67,"&gt;=3")+COUNTIF('Change in Means- Data Input'!O67,"&gt;=3")+COUNTIF('Change in Means- Data Input'!Q67,"&gt;=3")+COUNTIF('Change in Means- Data Input'!S67,"&gt;=3"))</f>
        <v>NULL</v>
      </c>
      <c r="L60" s="1" t="str">
        <f>IF('Change in Means- Data Input'!B67="NA","NULL",COUNTIF('Change in Means- Data Input'!B67,"&gt;=3")+COUNTIF('Change in Means- Data Input'!D67,"&gt;=3")+COUNTIF('Change in Means- Data Input'!F67,"&gt;=3")+COUNTIF('Change in Means- Data Input'!H67,"&gt;=3")+COUNTIF('Change in Means- Data Input'!J67,"&gt;=3")+COUNTIF('Change in Means- Data Input'!L67,"&gt;=3")+COUNTIF('Change in Means- Data Input'!N67,"&gt;=3")+COUNTIF('Change in Means- Data Input'!P67,"&gt;=3")+COUNTIF('Change in Means- Data Input'!R67,"&gt;=3")+COUNTIF('Change in Means- Data Input'!T67,"&gt;=3"))</f>
        <v>NULL</v>
      </c>
      <c r="M60" s="1" t="str">
        <f>IF(Table37[[#This Row],[Pre]]="NULL","NULL",IF(COUNTIF(A60:J60,"&gt;0"),"Yes","No"))</f>
        <v>NULL</v>
      </c>
    </row>
    <row r="61" spans="1:16" x14ac:dyDescent="0.2">
      <c r="A61" s="17" t="e">
        <f>IF(OR(ISBLANK('Change in Means- Data Input'!A68), ISBLANK('Change in Means- Data Input'!B68)),"", 'Change in Means- Data Input'!B68-'Change in Means- Data Input'!A68)</f>
        <v>#VALUE!</v>
      </c>
      <c r="B61" s="1" t="e">
        <f>IF(OR(ISBLANK('Change in Means- Data Input'!C68),ISBLANK('Change in Means- Data Input'!D68)),"",'Change in Means- Data Input'!D68-'Change in Means- Data Input'!C68)</f>
        <v>#VALUE!</v>
      </c>
      <c r="C61" s="1" t="e">
        <f>IF(OR(ISBLANK('Change in Means- Data Input'!E68),ISBLANK('Change in Means- Data Input'!F68)),"",'Change in Means- Data Input'!F68-'Change in Means- Data Input'!E68)</f>
        <v>#VALUE!</v>
      </c>
      <c r="D61" s="1" t="e">
        <f>IF(OR(ISBLANK('Change in Means- Data Input'!G68),ISBLANK('Change in Means- Data Input'!H68)),"",'Change in Means- Data Input'!H68-'Change in Means- Data Input'!G68)</f>
        <v>#VALUE!</v>
      </c>
      <c r="E61" s="1" t="e">
        <f>IF(OR(ISBLANK('Change in Means- Data Input'!I68),ISBLANK('Change in Means- Data Input'!J68)),"",'Change in Means- Data Input'!J68-'Change in Means- Data Input'!I68)</f>
        <v>#VALUE!</v>
      </c>
      <c r="F61" s="1" t="e">
        <f>IF(OR(ISBLANK('Change in Means- Data Input'!K68),ISBLANK('Change in Means- Data Input'!L68)),"",'Change in Means- Data Input'!L68-'Change in Means- Data Input'!K68)</f>
        <v>#VALUE!</v>
      </c>
      <c r="G61" s="17" t="e">
        <f>IF(OR(ISBLANK('Change in Means- Data Input'!M68),ISBLANK('Change in Means- Data Input'!N68)),"",'Change in Means- Data Input'!N68-'Change in Means- Data Input'!M68)</f>
        <v>#VALUE!</v>
      </c>
      <c r="H61" s="17" t="e">
        <f>IF(OR(ISBLANK('Change in Means- Data Input'!O68),ISBLANK('Change in Means- Data Input'!P68)),"",'Change in Means- Data Input'!P68-'Change in Means- Data Input'!O68)</f>
        <v>#VALUE!</v>
      </c>
      <c r="I61" s="17" t="e">
        <f>IF(OR(ISBLANK('Change in Means- Data Input'!Q68),ISBLANK('Change in Means- Data Input'!R68)),"",'Change in Means- Data Input'!R68-'Change in Means- Data Input'!Q68)</f>
        <v>#VALUE!</v>
      </c>
      <c r="J61" s="17" t="e">
        <f>IF(OR(ISBLANK('Change in Means- Data Input'!S68),ISBLANK('Change in Means- Data Input'!T68)),"",'Change in Means- Data Input'!T68-'Change in Means- Data Input'!S68)</f>
        <v>#VALUE!</v>
      </c>
      <c r="K61" s="1" t="str">
        <f>IF('Change in Means- Data Input'!A68="NA","NULL",COUNTIF('Change in Means- Data Input'!A68,"&gt;=3")+COUNTIF('Change in Means- Data Input'!C68,"&gt;=3")+COUNTIF('Change in Means- Data Input'!E68,"&gt;=3")+COUNTIF('Change in Means- Data Input'!G68,"&gt;=3")+COUNTIF('Change in Means- Data Input'!I68,"&gt;=3")+COUNTIF('Change in Means- Data Input'!K68,"&gt;=3")+COUNTIF('Change in Means- Data Input'!M68,"&gt;=3")+COUNTIF('Change in Means- Data Input'!O68,"&gt;=3")+COUNTIF('Change in Means- Data Input'!Q68,"&gt;=3")+COUNTIF('Change in Means- Data Input'!S68,"&gt;=3"))</f>
        <v>NULL</v>
      </c>
      <c r="L61" s="1" t="str">
        <f>IF('Change in Means- Data Input'!B68="NA","NULL",COUNTIF('Change in Means- Data Input'!B68,"&gt;=3")+COUNTIF('Change in Means- Data Input'!D68,"&gt;=3")+COUNTIF('Change in Means- Data Input'!F68,"&gt;=3")+COUNTIF('Change in Means- Data Input'!H68,"&gt;=3")+COUNTIF('Change in Means- Data Input'!J68,"&gt;=3")+COUNTIF('Change in Means- Data Input'!L68,"&gt;=3")+COUNTIF('Change in Means- Data Input'!N68,"&gt;=3")+COUNTIF('Change in Means- Data Input'!P68,"&gt;=3")+COUNTIF('Change in Means- Data Input'!R68,"&gt;=3")+COUNTIF('Change in Means- Data Input'!T68,"&gt;=3"))</f>
        <v>NULL</v>
      </c>
      <c r="M61" s="1" t="str">
        <f>IF(Table37[[#This Row],[Pre]]="NULL","NULL",IF(COUNTIF(A61:J61,"&gt;0"),"Yes","No"))</f>
        <v>NULL</v>
      </c>
    </row>
    <row r="62" spans="1:16" x14ac:dyDescent="0.2">
      <c r="A62" s="17" t="e">
        <f>IF(OR(ISBLANK('Change in Means- Data Input'!A69), ISBLANK('Change in Means- Data Input'!B69)),"", 'Change in Means- Data Input'!B69-'Change in Means- Data Input'!A69)</f>
        <v>#VALUE!</v>
      </c>
      <c r="B62" s="1" t="e">
        <f>IF(OR(ISBLANK('Change in Means- Data Input'!C69),ISBLANK('Change in Means- Data Input'!D69)),"",'Change in Means- Data Input'!D69-'Change in Means- Data Input'!C69)</f>
        <v>#VALUE!</v>
      </c>
      <c r="C62" s="1" t="e">
        <f>IF(OR(ISBLANK('Change in Means- Data Input'!E69),ISBLANK('Change in Means- Data Input'!F69)),"",'Change in Means- Data Input'!F69-'Change in Means- Data Input'!E69)</f>
        <v>#VALUE!</v>
      </c>
      <c r="D62" s="1" t="e">
        <f>IF(OR(ISBLANK('Change in Means- Data Input'!G69),ISBLANK('Change in Means- Data Input'!H69)),"",'Change in Means- Data Input'!H69-'Change in Means- Data Input'!G69)</f>
        <v>#VALUE!</v>
      </c>
      <c r="E62" s="1" t="e">
        <f>IF(OR(ISBLANK('Change in Means- Data Input'!I69),ISBLANK('Change in Means- Data Input'!J69)),"",'Change in Means- Data Input'!J69-'Change in Means- Data Input'!I69)</f>
        <v>#VALUE!</v>
      </c>
      <c r="F62" s="1" t="e">
        <f>IF(OR(ISBLANK('Change in Means- Data Input'!K69),ISBLANK('Change in Means- Data Input'!L69)),"",'Change in Means- Data Input'!L69-'Change in Means- Data Input'!K69)</f>
        <v>#VALUE!</v>
      </c>
      <c r="G62" s="17" t="e">
        <f>IF(OR(ISBLANK('Change in Means- Data Input'!M69),ISBLANK('Change in Means- Data Input'!N69)),"",'Change in Means- Data Input'!N69-'Change in Means- Data Input'!M69)</f>
        <v>#VALUE!</v>
      </c>
      <c r="H62" s="17" t="e">
        <f>IF(OR(ISBLANK('Change in Means- Data Input'!O69),ISBLANK('Change in Means- Data Input'!P69)),"",'Change in Means- Data Input'!P69-'Change in Means- Data Input'!O69)</f>
        <v>#VALUE!</v>
      </c>
      <c r="I62" s="17" t="e">
        <f>IF(OR(ISBLANK('Change in Means- Data Input'!Q69),ISBLANK('Change in Means- Data Input'!R69)),"",'Change in Means- Data Input'!R69-'Change in Means- Data Input'!Q69)</f>
        <v>#VALUE!</v>
      </c>
      <c r="J62" s="17" t="e">
        <f>IF(OR(ISBLANK('Change in Means- Data Input'!S69),ISBLANK('Change in Means- Data Input'!T69)),"",'Change in Means- Data Input'!T69-'Change in Means- Data Input'!S69)</f>
        <v>#VALUE!</v>
      </c>
      <c r="K62" s="1" t="str">
        <f>IF('Change in Means- Data Input'!A69="NA","NULL",COUNTIF('Change in Means- Data Input'!A69,"&gt;=3")+COUNTIF('Change in Means- Data Input'!C69,"&gt;=3")+COUNTIF('Change in Means- Data Input'!E69,"&gt;=3")+COUNTIF('Change in Means- Data Input'!G69,"&gt;=3")+COUNTIF('Change in Means- Data Input'!I69,"&gt;=3")+COUNTIF('Change in Means- Data Input'!K69,"&gt;=3")+COUNTIF('Change in Means- Data Input'!M69,"&gt;=3")+COUNTIF('Change in Means- Data Input'!O69,"&gt;=3")+COUNTIF('Change in Means- Data Input'!Q69,"&gt;=3")+COUNTIF('Change in Means- Data Input'!S69,"&gt;=3"))</f>
        <v>NULL</v>
      </c>
      <c r="L62" s="1" t="str">
        <f>IF('Change in Means- Data Input'!B69="NA","NULL",COUNTIF('Change in Means- Data Input'!B69,"&gt;=3")+COUNTIF('Change in Means- Data Input'!D69,"&gt;=3")+COUNTIF('Change in Means- Data Input'!F69,"&gt;=3")+COUNTIF('Change in Means- Data Input'!H69,"&gt;=3")+COUNTIF('Change in Means- Data Input'!J69,"&gt;=3")+COUNTIF('Change in Means- Data Input'!L69,"&gt;=3")+COUNTIF('Change in Means- Data Input'!N69,"&gt;=3")+COUNTIF('Change in Means- Data Input'!P69,"&gt;=3")+COUNTIF('Change in Means- Data Input'!R69,"&gt;=3")+COUNTIF('Change in Means- Data Input'!T69,"&gt;=3"))</f>
        <v>NULL</v>
      </c>
      <c r="M62" s="1" t="str">
        <f>IF(Table37[[#This Row],[Pre]]="NULL","NULL",IF(COUNTIF(A62:J62,"&gt;0"),"Yes","No"))</f>
        <v>NULL</v>
      </c>
    </row>
    <row r="63" spans="1:16" x14ac:dyDescent="0.2">
      <c r="A63" s="17" t="e">
        <f>IF(OR(ISBLANK('Change in Means- Data Input'!A70), ISBLANK('Change in Means- Data Input'!B70)),"", 'Change in Means- Data Input'!B70-'Change in Means- Data Input'!A70)</f>
        <v>#VALUE!</v>
      </c>
      <c r="B63" s="1" t="e">
        <f>IF(OR(ISBLANK('Change in Means- Data Input'!C70),ISBLANK('Change in Means- Data Input'!D70)),"",'Change in Means- Data Input'!D70-'Change in Means- Data Input'!C70)</f>
        <v>#VALUE!</v>
      </c>
      <c r="C63" s="1" t="e">
        <f>IF(OR(ISBLANK('Change in Means- Data Input'!E70),ISBLANK('Change in Means- Data Input'!F70)),"",'Change in Means- Data Input'!F70-'Change in Means- Data Input'!E70)</f>
        <v>#VALUE!</v>
      </c>
      <c r="D63" s="1" t="e">
        <f>IF(OR(ISBLANK('Change in Means- Data Input'!G70),ISBLANK('Change in Means- Data Input'!H70)),"",'Change in Means- Data Input'!H70-'Change in Means- Data Input'!G70)</f>
        <v>#VALUE!</v>
      </c>
      <c r="E63" s="1" t="e">
        <f>IF(OR(ISBLANK('Change in Means- Data Input'!I70),ISBLANK('Change in Means- Data Input'!J70)),"",'Change in Means- Data Input'!J70-'Change in Means- Data Input'!I70)</f>
        <v>#VALUE!</v>
      </c>
      <c r="F63" s="1" t="e">
        <f>IF(OR(ISBLANK('Change in Means- Data Input'!K70),ISBLANK('Change in Means- Data Input'!L70)),"",'Change in Means- Data Input'!L70-'Change in Means- Data Input'!K70)</f>
        <v>#VALUE!</v>
      </c>
      <c r="G63" s="17" t="e">
        <f>IF(OR(ISBLANK('Change in Means- Data Input'!M70),ISBLANK('Change in Means- Data Input'!N70)),"",'Change in Means- Data Input'!N70-'Change in Means- Data Input'!M70)</f>
        <v>#VALUE!</v>
      </c>
      <c r="H63" s="17" t="e">
        <f>IF(OR(ISBLANK('Change in Means- Data Input'!O70),ISBLANK('Change in Means- Data Input'!P70)),"",'Change in Means- Data Input'!P70-'Change in Means- Data Input'!O70)</f>
        <v>#VALUE!</v>
      </c>
      <c r="I63" s="17" t="e">
        <f>IF(OR(ISBLANK('Change in Means- Data Input'!Q70),ISBLANK('Change in Means- Data Input'!R70)),"",'Change in Means- Data Input'!R70-'Change in Means- Data Input'!Q70)</f>
        <v>#VALUE!</v>
      </c>
      <c r="J63" s="17" t="e">
        <f>IF(OR(ISBLANK('Change in Means- Data Input'!S70),ISBLANK('Change in Means- Data Input'!T70)),"",'Change in Means- Data Input'!T70-'Change in Means- Data Input'!S70)</f>
        <v>#VALUE!</v>
      </c>
      <c r="K63" s="1" t="str">
        <f>IF('Change in Means- Data Input'!A70="NA","NULL",COUNTIF('Change in Means- Data Input'!A70,"&gt;=3")+COUNTIF('Change in Means- Data Input'!C70,"&gt;=3")+COUNTIF('Change in Means- Data Input'!E70,"&gt;=3")+COUNTIF('Change in Means- Data Input'!G70,"&gt;=3")+COUNTIF('Change in Means- Data Input'!I70,"&gt;=3")+COUNTIF('Change in Means- Data Input'!K70,"&gt;=3")+COUNTIF('Change in Means- Data Input'!M70,"&gt;=3")+COUNTIF('Change in Means- Data Input'!O70,"&gt;=3")+COUNTIF('Change in Means- Data Input'!Q70,"&gt;=3")+COUNTIF('Change in Means- Data Input'!S70,"&gt;=3"))</f>
        <v>NULL</v>
      </c>
      <c r="L63" s="1" t="str">
        <f>IF('Change in Means- Data Input'!B70="NA","NULL",COUNTIF('Change in Means- Data Input'!B70,"&gt;=3")+COUNTIF('Change in Means- Data Input'!D70,"&gt;=3")+COUNTIF('Change in Means- Data Input'!F70,"&gt;=3")+COUNTIF('Change in Means- Data Input'!H70,"&gt;=3")+COUNTIF('Change in Means- Data Input'!J70,"&gt;=3")+COUNTIF('Change in Means- Data Input'!L70,"&gt;=3")+COUNTIF('Change in Means- Data Input'!N70,"&gt;=3")+COUNTIF('Change in Means- Data Input'!P70,"&gt;=3")+COUNTIF('Change in Means- Data Input'!R70,"&gt;=3")+COUNTIF('Change in Means- Data Input'!T70,"&gt;=3"))</f>
        <v>NULL</v>
      </c>
      <c r="M63" s="1" t="str">
        <f>IF(Table37[[#This Row],[Pre]]="NULL","NULL",IF(COUNTIF(A63:J63,"&gt;0"),"Yes","No"))</f>
        <v>NULL</v>
      </c>
    </row>
    <row r="64" spans="1:16" x14ac:dyDescent="0.2">
      <c r="A64" s="17" t="e">
        <f>IF(OR(ISBLANK('Change in Means- Data Input'!A71), ISBLANK('Change in Means- Data Input'!B71)),"", 'Change in Means- Data Input'!B71-'Change in Means- Data Input'!A71)</f>
        <v>#VALUE!</v>
      </c>
      <c r="B64" s="1" t="e">
        <f>IF(OR(ISBLANK('Change in Means- Data Input'!C71),ISBLANK('Change in Means- Data Input'!D71)),"",'Change in Means- Data Input'!D71-'Change in Means- Data Input'!C71)</f>
        <v>#VALUE!</v>
      </c>
      <c r="C64" s="1" t="e">
        <f>IF(OR(ISBLANK('Change in Means- Data Input'!E71),ISBLANK('Change in Means- Data Input'!F71)),"",'Change in Means- Data Input'!F71-'Change in Means- Data Input'!E71)</f>
        <v>#VALUE!</v>
      </c>
      <c r="D64" s="1" t="e">
        <f>IF(OR(ISBLANK('Change in Means- Data Input'!G71),ISBLANK('Change in Means- Data Input'!H71)),"",'Change in Means- Data Input'!H71-'Change in Means- Data Input'!G71)</f>
        <v>#VALUE!</v>
      </c>
      <c r="E64" s="1" t="e">
        <f>IF(OR(ISBLANK('Change in Means- Data Input'!I71),ISBLANK('Change in Means- Data Input'!J71)),"",'Change in Means- Data Input'!J71-'Change in Means- Data Input'!I71)</f>
        <v>#VALUE!</v>
      </c>
      <c r="F64" s="1" t="e">
        <f>IF(OR(ISBLANK('Change in Means- Data Input'!K71),ISBLANK('Change in Means- Data Input'!L71)),"",'Change in Means- Data Input'!L71-'Change in Means- Data Input'!K71)</f>
        <v>#VALUE!</v>
      </c>
      <c r="G64" s="17" t="e">
        <f>IF(OR(ISBLANK('Change in Means- Data Input'!M71),ISBLANK('Change in Means- Data Input'!N71)),"",'Change in Means- Data Input'!N71-'Change in Means- Data Input'!M71)</f>
        <v>#VALUE!</v>
      </c>
      <c r="H64" s="17" t="e">
        <f>IF(OR(ISBLANK('Change in Means- Data Input'!O71),ISBLANK('Change in Means- Data Input'!P71)),"",'Change in Means- Data Input'!P71-'Change in Means- Data Input'!O71)</f>
        <v>#VALUE!</v>
      </c>
      <c r="I64" s="17" t="e">
        <f>IF(OR(ISBLANK('Change in Means- Data Input'!Q71),ISBLANK('Change in Means- Data Input'!R71)),"",'Change in Means- Data Input'!R71-'Change in Means- Data Input'!Q71)</f>
        <v>#VALUE!</v>
      </c>
      <c r="J64" s="17" t="e">
        <f>IF(OR(ISBLANK('Change in Means- Data Input'!S71),ISBLANK('Change in Means- Data Input'!T71)),"",'Change in Means- Data Input'!T71-'Change in Means- Data Input'!S71)</f>
        <v>#VALUE!</v>
      </c>
      <c r="K64" s="1" t="str">
        <f>IF('Change in Means- Data Input'!A71="NA","NULL",COUNTIF('Change in Means- Data Input'!A71,"&gt;=3")+COUNTIF('Change in Means- Data Input'!C71,"&gt;=3")+COUNTIF('Change in Means- Data Input'!E71,"&gt;=3")+COUNTIF('Change in Means- Data Input'!G71,"&gt;=3")+COUNTIF('Change in Means- Data Input'!I71,"&gt;=3")+COUNTIF('Change in Means- Data Input'!K71,"&gt;=3")+COUNTIF('Change in Means- Data Input'!M71,"&gt;=3")+COUNTIF('Change in Means- Data Input'!O71,"&gt;=3")+COUNTIF('Change in Means- Data Input'!Q71,"&gt;=3")+COUNTIF('Change in Means- Data Input'!S71,"&gt;=3"))</f>
        <v>NULL</v>
      </c>
      <c r="L64" s="1" t="str">
        <f>IF('Change in Means- Data Input'!B71="NA","NULL",COUNTIF('Change in Means- Data Input'!B71,"&gt;=3")+COUNTIF('Change in Means- Data Input'!D71,"&gt;=3")+COUNTIF('Change in Means- Data Input'!F71,"&gt;=3")+COUNTIF('Change in Means- Data Input'!H71,"&gt;=3")+COUNTIF('Change in Means- Data Input'!J71,"&gt;=3")+COUNTIF('Change in Means- Data Input'!L71,"&gt;=3")+COUNTIF('Change in Means- Data Input'!N71,"&gt;=3")+COUNTIF('Change in Means- Data Input'!P71,"&gt;=3")+COUNTIF('Change in Means- Data Input'!R71,"&gt;=3")+COUNTIF('Change in Means- Data Input'!T71,"&gt;=3"))</f>
        <v>NULL</v>
      </c>
      <c r="M64" s="1" t="str">
        <f>IF(Table37[[#This Row],[Pre]]="NULL","NULL",IF(COUNTIF(A64:J64,"&gt;0"),"Yes","No"))</f>
        <v>NULL</v>
      </c>
    </row>
    <row r="65" spans="1:13" x14ac:dyDescent="0.2">
      <c r="A65" s="17" t="e">
        <f>IF(OR(ISBLANK('Change in Means- Data Input'!A72), ISBLANK('Change in Means- Data Input'!B72)),"", 'Change in Means- Data Input'!B72-'Change in Means- Data Input'!A72)</f>
        <v>#VALUE!</v>
      </c>
      <c r="B65" s="1" t="e">
        <f>IF(OR(ISBLANK('Change in Means- Data Input'!C72),ISBLANK('Change in Means- Data Input'!D72)),"",'Change in Means- Data Input'!D72-'Change in Means- Data Input'!C72)</f>
        <v>#VALUE!</v>
      </c>
      <c r="C65" s="1" t="e">
        <f>IF(OR(ISBLANK('Change in Means- Data Input'!E72),ISBLANK('Change in Means- Data Input'!F72)),"",'Change in Means- Data Input'!F72-'Change in Means- Data Input'!E72)</f>
        <v>#VALUE!</v>
      </c>
      <c r="D65" s="1" t="e">
        <f>IF(OR(ISBLANK('Change in Means- Data Input'!G72),ISBLANK('Change in Means- Data Input'!H72)),"",'Change in Means- Data Input'!H72-'Change in Means- Data Input'!G72)</f>
        <v>#VALUE!</v>
      </c>
      <c r="E65" s="1" t="e">
        <f>IF(OR(ISBLANK('Change in Means- Data Input'!I72),ISBLANK('Change in Means- Data Input'!J72)),"",'Change in Means- Data Input'!J72-'Change in Means- Data Input'!I72)</f>
        <v>#VALUE!</v>
      </c>
      <c r="F65" s="1" t="e">
        <f>IF(OR(ISBLANK('Change in Means- Data Input'!K72),ISBLANK('Change in Means- Data Input'!L72)),"",'Change in Means- Data Input'!L72-'Change in Means- Data Input'!K72)</f>
        <v>#VALUE!</v>
      </c>
      <c r="G65" s="17" t="e">
        <f>IF(OR(ISBLANK('Change in Means- Data Input'!M72),ISBLANK('Change in Means- Data Input'!N72)),"",'Change in Means- Data Input'!N72-'Change in Means- Data Input'!M72)</f>
        <v>#VALUE!</v>
      </c>
      <c r="H65" s="17" t="e">
        <f>IF(OR(ISBLANK('Change in Means- Data Input'!O72),ISBLANK('Change in Means- Data Input'!P72)),"",'Change in Means- Data Input'!P72-'Change in Means- Data Input'!O72)</f>
        <v>#VALUE!</v>
      </c>
      <c r="I65" s="17" t="e">
        <f>IF(OR(ISBLANK('Change in Means- Data Input'!Q72),ISBLANK('Change in Means- Data Input'!R72)),"",'Change in Means- Data Input'!R72-'Change in Means- Data Input'!Q72)</f>
        <v>#VALUE!</v>
      </c>
      <c r="J65" s="17" t="e">
        <f>IF(OR(ISBLANK('Change in Means- Data Input'!S72),ISBLANK('Change in Means- Data Input'!T72)),"",'Change in Means- Data Input'!T72-'Change in Means- Data Input'!S72)</f>
        <v>#VALUE!</v>
      </c>
      <c r="K65" s="1" t="str">
        <f>IF('Change in Means- Data Input'!A72="NA","NULL",COUNTIF('Change in Means- Data Input'!A72,"&gt;=3")+COUNTIF('Change in Means- Data Input'!C72,"&gt;=3")+COUNTIF('Change in Means- Data Input'!E72,"&gt;=3")+COUNTIF('Change in Means- Data Input'!G72,"&gt;=3")+COUNTIF('Change in Means- Data Input'!I72,"&gt;=3")+COUNTIF('Change in Means- Data Input'!K72,"&gt;=3")+COUNTIF('Change in Means- Data Input'!M72,"&gt;=3")+COUNTIF('Change in Means- Data Input'!O72,"&gt;=3")+COUNTIF('Change in Means- Data Input'!Q72,"&gt;=3")+COUNTIF('Change in Means- Data Input'!S72,"&gt;=3"))</f>
        <v>NULL</v>
      </c>
      <c r="L65" s="1" t="str">
        <f>IF('Change in Means- Data Input'!B72="NA","NULL",COUNTIF('Change in Means- Data Input'!B72,"&gt;=3")+COUNTIF('Change in Means- Data Input'!D72,"&gt;=3")+COUNTIF('Change in Means- Data Input'!F72,"&gt;=3")+COUNTIF('Change in Means- Data Input'!H72,"&gt;=3")+COUNTIF('Change in Means- Data Input'!J72,"&gt;=3")+COUNTIF('Change in Means- Data Input'!L72,"&gt;=3")+COUNTIF('Change in Means- Data Input'!N72,"&gt;=3")+COUNTIF('Change in Means- Data Input'!P72,"&gt;=3")+COUNTIF('Change in Means- Data Input'!R72,"&gt;=3")+COUNTIF('Change in Means- Data Input'!T72,"&gt;=3"))</f>
        <v>NULL</v>
      </c>
      <c r="M65" s="1" t="str">
        <f>IF(Table37[[#This Row],[Pre]]="NULL","NULL",IF(COUNTIF(A65:J65,"&gt;0"),"Yes","No"))</f>
        <v>NULL</v>
      </c>
    </row>
    <row r="66" spans="1:13" x14ac:dyDescent="0.2">
      <c r="A66" s="17" t="e">
        <f>IF(OR(ISBLANK('Change in Means- Data Input'!A73), ISBLANK('Change in Means- Data Input'!B73)),"", 'Change in Means- Data Input'!B73-'Change in Means- Data Input'!A73)</f>
        <v>#VALUE!</v>
      </c>
      <c r="B66" s="1" t="e">
        <f>IF(OR(ISBLANK('Change in Means- Data Input'!C73),ISBLANK('Change in Means- Data Input'!D73)),"",'Change in Means- Data Input'!D73-'Change in Means- Data Input'!C73)</f>
        <v>#VALUE!</v>
      </c>
      <c r="C66" s="1" t="e">
        <f>IF(OR(ISBLANK('Change in Means- Data Input'!E73),ISBLANK('Change in Means- Data Input'!F73)),"",'Change in Means- Data Input'!F73-'Change in Means- Data Input'!E73)</f>
        <v>#VALUE!</v>
      </c>
      <c r="D66" s="1" t="e">
        <f>IF(OR(ISBLANK('Change in Means- Data Input'!G73),ISBLANK('Change in Means- Data Input'!H73)),"",'Change in Means- Data Input'!H73-'Change in Means- Data Input'!G73)</f>
        <v>#VALUE!</v>
      </c>
      <c r="E66" s="1" t="e">
        <f>IF(OR(ISBLANK('Change in Means- Data Input'!I73),ISBLANK('Change in Means- Data Input'!J73)),"",'Change in Means- Data Input'!J73-'Change in Means- Data Input'!I73)</f>
        <v>#VALUE!</v>
      </c>
      <c r="F66" s="1" t="e">
        <f>IF(OR(ISBLANK('Change in Means- Data Input'!K73),ISBLANK('Change in Means- Data Input'!L73)),"",'Change in Means- Data Input'!L73-'Change in Means- Data Input'!K73)</f>
        <v>#VALUE!</v>
      </c>
      <c r="G66" s="17" t="e">
        <f>IF(OR(ISBLANK('Change in Means- Data Input'!M73),ISBLANK('Change in Means- Data Input'!N73)),"",'Change in Means- Data Input'!N73-'Change in Means- Data Input'!M73)</f>
        <v>#VALUE!</v>
      </c>
      <c r="H66" s="17" t="e">
        <f>IF(OR(ISBLANK('Change in Means- Data Input'!O73),ISBLANK('Change in Means- Data Input'!P73)),"",'Change in Means- Data Input'!P73-'Change in Means- Data Input'!O73)</f>
        <v>#VALUE!</v>
      </c>
      <c r="I66" s="17" t="e">
        <f>IF(OR(ISBLANK('Change in Means- Data Input'!Q73),ISBLANK('Change in Means- Data Input'!R73)),"",'Change in Means- Data Input'!R73-'Change in Means- Data Input'!Q73)</f>
        <v>#VALUE!</v>
      </c>
      <c r="J66" s="17" t="e">
        <f>IF(OR(ISBLANK('Change in Means- Data Input'!S73),ISBLANK('Change in Means- Data Input'!T73)),"",'Change in Means- Data Input'!T73-'Change in Means- Data Input'!S73)</f>
        <v>#VALUE!</v>
      </c>
      <c r="K66" s="1" t="str">
        <f>IF('Change in Means- Data Input'!A73="NA","NULL",COUNTIF('Change in Means- Data Input'!A73,"&gt;=3")+COUNTIF('Change in Means- Data Input'!C73,"&gt;=3")+COUNTIF('Change in Means- Data Input'!E73,"&gt;=3")+COUNTIF('Change in Means- Data Input'!G73,"&gt;=3")+COUNTIF('Change in Means- Data Input'!I73,"&gt;=3")+COUNTIF('Change in Means- Data Input'!K73,"&gt;=3")+COUNTIF('Change in Means- Data Input'!M73,"&gt;=3")+COUNTIF('Change in Means- Data Input'!O73,"&gt;=3")+COUNTIF('Change in Means- Data Input'!Q73,"&gt;=3")+COUNTIF('Change in Means- Data Input'!S73,"&gt;=3"))</f>
        <v>NULL</v>
      </c>
      <c r="L66" s="1" t="str">
        <f>IF('Change in Means- Data Input'!B73="NA","NULL",COUNTIF('Change in Means- Data Input'!B73,"&gt;=3")+COUNTIF('Change in Means- Data Input'!D73,"&gt;=3")+COUNTIF('Change in Means- Data Input'!F73,"&gt;=3")+COUNTIF('Change in Means- Data Input'!H73,"&gt;=3")+COUNTIF('Change in Means- Data Input'!J73,"&gt;=3")+COUNTIF('Change in Means- Data Input'!L73,"&gt;=3")+COUNTIF('Change in Means- Data Input'!N73,"&gt;=3")+COUNTIF('Change in Means- Data Input'!P73,"&gt;=3")+COUNTIF('Change in Means- Data Input'!R73,"&gt;=3")+COUNTIF('Change in Means- Data Input'!T73,"&gt;=3"))</f>
        <v>NULL</v>
      </c>
      <c r="M66" s="1" t="str">
        <f>IF(Table37[[#This Row],[Pre]]="NULL","NULL",IF(COUNTIF(A66:J66,"&gt;0"),"Yes","No"))</f>
        <v>NULL</v>
      </c>
    </row>
    <row r="67" spans="1:13" x14ac:dyDescent="0.2">
      <c r="A67" s="17" t="e">
        <f>IF(OR(ISBLANK('Change in Means- Data Input'!A74), ISBLANK('Change in Means- Data Input'!B74)),"", 'Change in Means- Data Input'!B74-'Change in Means- Data Input'!A74)</f>
        <v>#VALUE!</v>
      </c>
      <c r="B67" s="1" t="e">
        <f>IF(OR(ISBLANK('Change in Means- Data Input'!C74),ISBLANK('Change in Means- Data Input'!D74)),"",'Change in Means- Data Input'!D74-'Change in Means- Data Input'!C74)</f>
        <v>#VALUE!</v>
      </c>
      <c r="C67" s="1" t="e">
        <f>IF(OR(ISBLANK('Change in Means- Data Input'!E74),ISBLANK('Change in Means- Data Input'!F74)),"",'Change in Means- Data Input'!F74-'Change in Means- Data Input'!E74)</f>
        <v>#VALUE!</v>
      </c>
      <c r="D67" s="1" t="e">
        <f>IF(OR(ISBLANK('Change in Means- Data Input'!G74),ISBLANK('Change in Means- Data Input'!H74)),"",'Change in Means- Data Input'!H74-'Change in Means- Data Input'!G74)</f>
        <v>#VALUE!</v>
      </c>
      <c r="E67" s="1" t="e">
        <f>IF(OR(ISBLANK('Change in Means- Data Input'!I74),ISBLANK('Change in Means- Data Input'!J74)),"",'Change in Means- Data Input'!J74-'Change in Means- Data Input'!I74)</f>
        <v>#VALUE!</v>
      </c>
      <c r="F67" s="1" t="e">
        <f>IF(OR(ISBLANK('Change in Means- Data Input'!K74),ISBLANK('Change in Means- Data Input'!L74)),"",'Change in Means- Data Input'!L74-'Change in Means- Data Input'!K74)</f>
        <v>#VALUE!</v>
      </c>
      <c r="G67" s="17" t="e">
        <f>IF(OR(ISBLANK('Change in Means- Data Input'!M74),ISBLANK('Change in Means- Data Input'!N74)),"",'Change in Means- Data Input'!N74-'Change in Means- Data Input'!M74)</f>
        <v>#VALUE!</v>
      </c>
      <c r="H67" s="17" t="e">
        <f>IF(OR(ISBLANK('Change in Means- Data Input'!O74),ISBLANK('Change in Means- Data Input'!P74)),"",'Change in Means- Data Input'!P74-'Change in Means- Data Input'!O74)</f>
        <v>#VALUE!</v>
      </c>
      <c r="I67" s="17" t="e">
        <f>IF(OR(ISBLANK('Change in Means- Data Input'!Q74),ISBLANK('Change in Means- Data Input'!R74)),"",'Change in Means- Data Input'!R74-'Change in Means- Data Input'!Q74)</f>
        <v>#VALUE!</v>
      </c>
      <c r="J67" s="17" t="e">
        <f>IF(OR(ISBLANK('Change in Means- Data Input'!S74),ISBLANK('Change in Means- Data Input'!T74)),"",'Change in Means- Data Input'!T74-'Change in Means- Data Input'!S74)</f>
        <v>#VALUE!</v>
      </c>
      <c r="K67" s="1" t="str">
        <f>IF('Change in Means- Data Input'!A74="NA","NULL",COUNTIF('Change in Means- Data Input'!A74,"&gt;=3")+COUNTIF('Change in Means- Data Input'!C74,"&gt;=3")+COUNTIF('Change in Means- Data Input'!E74,"&gt;=3")+COUNTIF('Change in Means- Data Input'!G74,"&gt;=3")+COUNTIF('Change in Means- Data Input'!I74,"&gt;=3")+COUNTIF('Change in Means- Data Input'!K74,"&gt;=3")+COUNTIF('Change in Means- Data Input'!M74,"&gt;=3")+COUNTIF('Change in Means- Data Input'!O74,"&gt;=3")+COUNTIF('Change in Means- Data Input'!Q74,"&gt;=3")+COUNTIF('Change in Means- Data Input'!S74,"&gt;=3"))</f>
        <v>NULL</v>
      </c>
      <c r="L67" s="1" t="str">
        <f>IF('Change in Means- Data Input'!B74="NA","NULL",COUNTIF('Change in Means- Data Input'!B74,"&gt;=3")+COUNTIF('Change in Means- Data Input'!D74,"&gt;=3")+COUNTIF('Change in Means- Data Input'!F74,"&gt;=3")+COUNTIF('Change in Means- Data Input'!H74,"&gt;=3")+COUNTIF('Change in Means- Data Input'!J74,"&gt;=3")+COUNTIF('Change in Means- Data Input'!L74,"&gt;=3")+COUNTIF('Change in Means- Data Input'!N74,"&gt;=3")+COUNTIF('Change in Means- Data Input'!P74,"&gt;=3")+COUNTIF('Change in Means- Data Input'!R74,"&gt;=3")+COUNTIF('Change in Means- Data Input'!T74,"&gt;=3"))</f>
        <v>NULL</v>
      </c>
      <c r="M67" s="1" t="str">
        <f>IF(Table37[[#This Row],[Pre]]="NULL","NULL",IF(COUNTIF(A67:J67,"&gt;0"),"Yes","No"))</f>
        <v>NULL</v>
      </c>
    </row>
    <row r="68" spans="1:13" x14ac:dyDescent="0.2">
      <c r="A68" s="17" t="e">
        <f>IF(OR(ISBLANK('Change in Means- Data Input'!A75), ISBLANK('Change in Means- Data Input'!B75)),"", 'Change in Means- Data Input'!B75-'Change in Means- Data Input'!A75)</f>
        <v>#VALUE!</v>
      </c>
      <c r="B68" s="1" t="e">
        <f>IF(OR(ISBLANK('Change in Means- Data Input'!C75),ISBLANK('Change in Means- Data Input'!D75)),"",'Change in Means- Data Input'!D75-'Change in Means- Data Input'!C75)</f>
        <v>#VALUE!</v>
      </c>
      <c r="C68" s="1" t="e">
        <f>IF(OR(ISBLANK('Change in Means- Data Input'!E75),ISBLANK('Change in Means- Data Input'!F75)),"",'Change in Means- Data Input'!F75-'Change in Means- Data Input'!E75)</f>
        <v>#VALUE!</v>
      </c>
      <c r="D68" s="1" t="e">
        <f>IF(OR(ISBLANK('Change in Means- Data Input'!G75),ISBLANK('Change in Means- Data Input'!H75)),"",'Change in Means- Data Input'!H75-'Change in Means- Data Input'!G75)</f>
        <v>#VALUE!</v>
      </c>
      <c r="E68" s="1" t="e">
        <f>IF(OR(ISBLANK('Change in Means- Data Input'!I75),ISBLANK('Change in Means- Data Input'!J75)),"",'Change in Means- Data Input'!J75-'Change in Means- Data Input'!I75)</f>
        <v>#VALUE!</v>
      </c>
      <c r="F68" s="1" t="e">
        <f>IF(OR(ISBLANK('Change in Means- Data Input'!K75),ISBLANK('Change in Means- Data Input'!L75)),"",'Change in Means- Data Input'!L75-'Change in Means- Data Input'!K75)</f>
        <v>#VALUE!</v>
      </c>
      <c r="G68" s="17" t="e">
        <f>IF(OR(ISBLANK('Change in Means- Data Input'!M75),ISBLANK('Change in Means- Data Input'!N75)),"",'Change in Means- Data Input'!N75-'Change in Means- Data Input'!M75)</f>
        <v>#VALUE!</v>
      </c>
      <c r="H68" s="17" t="e">
        <f>IF(OR(ISBLANK('Change in Means- Data Input'!O75),ISBLANK('Change in Means- Data Input'!P75)),"",'Change in Means- Data Input'!P75-'Change in Means- Data Input'!O75)</f>
        <v>#VALUE!</v>
      </c>
      <c r="I68" s="17" t="e">
        <f>IF(OR(ISBLANK('Change in Means- Data Input'!Q75),ISBLANK('Change in Means- Data Input'!R75)),"",'Change in Means- Data Input'!R75-'Change in Means- Data Input'!Q75)</f>
        <v>#VALUE!</v>
      </c>
      <c r="J68" s="17" t="e">
        <f>IF(OR(ISBLANK('Change in Means- Data Input'!S75),ISBLANK('Change in Means- Data Input'!T75)),"",'Change in Means- Data Input'!T75-'Change in Means- Data Input'!S75)</f>
        <v>#VALUE!</v>
      </c>
      <c r="K68" s="1" t="str">
        <f>IF('Change in Means- Data Input'!A75="NA","NULL",COUNTIF('Change in Means- Data Input'!A75,"&gt;=3")+COUNTIF('Change in Means- Data Input'!C75,"&gt;=3")+COUNTIF('Change in Means- Data Input'!E75,"&gt;=3")+COUNTIF('Change in Means- Data Input'!G75,"&gt;=3")+COUNTIF('Change in Means- Data Input'!I75,"&gt;=3")+COUNTIF('Change in Means- Data Input'!K75,"&gt;=3")+COUNTIF('Change in Means- Data Input'!M75,"&gt;=3")+COUNTIF('Change in Means- Data Input'!O75,"&gt;=3")+COUNTIF('Change in Means- Data Input'!Q75,"&gt;=3")+COUNTIF('Change in Means- Data Input'!S75,"&gt;=3"))</f>
        <v>NULL</v>
      </c>
      <c r="L68" s="1" t="str">
        <f>IF('Change in Means- Data Input'!B75="NA","NULL",COUNTIF('Change in Means- Data Input'!B75,"&gt;=3")+COUNTIF('Change in Means- Data Input'!D75,"&gt;=3")+COUNTIF('Change in Means- Data Input'!F75,"&gt;=3")+COUNTIF('Change in Means- Data Input'!H75,"&gt;=3")+COUNTIF('Change in Means- Data Input'!J75,"&gt;=3")+COUNTIF('Change in Means- Data Input'!L75,"&gt;=3")+COUNTIF('Change in Means- Data Input'!N75,"&gt;=3")+COUNTIF('Change in Means- Data Input'!P75,"&gt;=3")+COUNTIF('Change in Means- Data Input'!R75,"&gt;=3")+COUNTIF('Change in Means- Data Input'!T75,"&gt;=3"))</f>
        <v>NULL</v>
      </c>
      <c r="M68" s="1" t="str">
        <f>IF(Table37[[#This Row],[Pre]]="NULL","NULL",IF(COUNTIF(A68:J68,"&gt;0"),"Yes","No"))</f>
        <v>NULL</v>
      </c>
    </row>
    <row r="69" spans="1:13" x14ac:dyDescent="0.2">
      <c r="A69" s="17" t="e">
        <f>IF(OR(ISBLANK('Change in Means- Data Input'!A76), ISBLANK('Change in Means- Data Input'!B76)),"", 'Change in Means- Data Input'!B76-'Change in Means- Data Input'!A76)</f>
        <v>#VALUE!</v>
      </c>
      <c r="B69" s="1" t="e">
        <f>IF(OR(ISBLANK('Change in Means- Data Input'!C76),ISBLANK('Change in Means- Data Input'!D76)),"",'Change in Means- Data Input'!D76-'Change in Means- Data Input'!C76)</f>
        <v>#VALUE!</v>
      </c>
      <c r="C69" s="1" t="e">
        <f>IF(OR(ISBLANK('Change in Means- Data Input'!E76),ISBLANK('Change in Means- Data Input'!F76)),"",'Change in Means- Data Input'!F76-'Change in Means- Data Input'!E76)</f>
        <v>#VALUE!</v>
      </c>
      <c r="D69" s="1" t="e">
        <f>IF(OR(ISBLANK('Change in Means- Data Input'!G76),ISBLANK('Change in Means- Data Input'!H76)),"",'Change in Means- Data Input'!H76-'Change in Means- Data Input'!G76)</f>
        <v>#VALUE!</v>
      </c>
      <c r="E69" s="1" t="e">
        <f>IF(OR(ISBLANK('Change in Means- Data Input'!I76),ISBLANK('Change in Means- Data Input'!J76)),"",'Change in Means- Data Input'!J76-'Change in Means- Data Input'!I76)</f>
        <v>#VALUE!</v>
      </c>
      <c r="F69" s="1" t="e">
        <f>IF(OR(ISBLANK('Change in Means- Data Input'!K76),ISBLANK('Change in Means- Data Input'!L76)),"",'Change in Means- Data Input'!L76-'Change in Means- Data Input'!K76)</f>
        <v>#VALUE!</v>
      </c>
      <c r="G69" s="17" t="e">
        <f>IF(OR(ISBLANK('Change in Means- Data Input'!M76),ISBLANK('Change in Means- Data Input'!N76)),"",'Change in Means- Data Input'!N76-'Change in Means- Data Input'!M76)</f>
        <v>#VALUE!</v>
      </c>
      <c r="H69" s="17" t="e">
        <f>IF(OR(ISBLANK('Change in Means- Data Input'!O76),ISBLANK('Change in Means- Data Input'!P76)),"",'Change in Means- Data Input'!P76-'Change in Means- Data Input'!O76)</f>
        <v>#VALUE!</v>
      </c>
      <c r="I69" s="17" t="e">
        <f>IF(OR(ISBLANK('Change in Means- Data Input'!Q76),ISBLANK('Change in Means- Data Input'!R76)),"",'Change in Means- Data Input'!R76-'Change in Means- Data Input'!Q76)</f>
        <v>#VALUE!</v>
      </c>
      <c r="J69" s="17" t="e">
        <f>IF(OR(ISBLANK('Change in Means- Data Input'!S76),ISBLANK('Change in Means- Data Input'!T76)),"",'Change in Means- Data Input'!T76-'Change in Means- Data Input'!S76)</f>
        <v>#VALUE!</v>
      </c>
      <c r="K69" s="1" t="str">
        <f>IF('Change in Means- Data Input'!A76="NA","NULL",COUNTIF('Change in Means- Data Input'!A76,"&gt;=3")+COUNTIF('Change in Means- Data Input'!C76,"&gt;=3")+COUNTIF('Change in Means- Data Input'!E76,"&gt;=3")+COUNTIF('Change in Means- Data Input'!G76,"&gt;=3")+COUNTIF('Change in Means- Data Input'!I76,"&gt;=3")+COUNTIF('Change in Means- Data Input'!K76,"&gt;=3")+COUNTIF('Change in Means- Data Input'!M76,"&gt;=3")+COUNTIF('Change in Means- Data Input'!O76,"&gt;=3")+COUNTIF('Change in Means- Data Input'!Q76,"&gt;=3")+COUNTIF('Change in Means- Data Input'!S76,"&gt;=3"))</f>
        <v>NULL</v>
      </c>
      <c r="L69" s="1" t="str">
        <f>IF('Change in Means- Data Input'!B76="NA","NULL",COUNTIF('Change in Means- Data Input'!B76,"&gt;=3")+COUNTIF('Change in Means- Data Input'!D76,"&gt;=3")+COUNTIF('Change in Means- Data Input'!F76,"&gt;=3")+COUNTIF('Change in Means- Data Input'!H76,"&gt;=3")+COUNTIF('Change in Means- Data Input'!J76,"&gt;=3")+COUNTIF('Change in Means- Data Input'!L76,"&gt;=3")+COUNTIF('Change in Means- Data Input'!N76,"&gt;=3")+COUNTIF('Change in Means- Data Input'!P76,"&gt;=3")+COUNTIF('Change in Means- Data Input'!R76,"&gt;=3")+COUNTIF('Change in Means- Data Input'!T76,"&gt;=3"))</f>
        <v>NULL</v>
      </c>
      <c r="M69" s="1" t="str">
        <f>IF(Table37[[#This Row],[Pre]]="NULL","NULL",IF(COUNTIF(A69:J69,"&gt;0"),"Yes","No"))</f>
        <v>NULL</v>
      </c>
    </row>
    <row r="70" spans="1:13" x14ac:dyDescent="0.2">
      <c r="A70" s="17" t="e">
        <f>IF(OR(ISBLANK('Change in Means- Data Input'!A77), ISBLANK('Change in Means- Data Input'!B77)),"", 'Change in Means- Data Input'!B77-'Change in Means- Data Input'!A77)</f>
        <v>#VALUE!</v>
      </c>
      <c r="B70" s="1" t="e">
        <f>IF(OR(ISBLANK('Change in Means- Data Input'!C77),ISBLANK('Change in Means- Data Input'!D77)),"",'Change in Means- Data Input'!D77-'Change in Means- Data Input'!C77)</f>
        <v>#VALUE!</v>
      </c>
      <c r="C70" s="1" t="e">
        <f>IF(OR(ISBLANK('Change in Means- Data Input'!E77),ISBLANK('Change in Means- Data Input'!F77)),"",'Change in Means- Data Input'!F77-'Change in Means- Data Input'!E77)</f>
        <v>#VALUE!</v>
      </c>
      <c r="D70" s="1" t="e">
        <f>IF(OR(ISBLANK('Change in Means- Data Input'!G77),ISBLANK('Change in Means- Data Input'!H77)),"",'Change in Means- Data Input'!H77-'Change in Means- Data Input'!G77)</f>
        <v>#VALUE!</v>
      </c>
      <c r="E70" s="1" t="e">
        <f>IF(OR(ISBLANK('Change in Means- Data Input'!I77),ISBLANK('Change in Means- Data Input'!J77)),"",'Change in Means- Data Input'!J77-'Change in Means- Data Input'!I77)</f>
        <v>#VALUE!</v>
      </c>
      <c r="F70" s="1" t="e">
        <f>IF(OR(ISBLANK('Change in Means- Data Input'!K77),ISBLANK('Change in Means- Data Input'!L77)),"",'Change in Means- Data Input'!L77-'Change in Means- Data Input'!K77)</f>
        <v>#VALUE!</v>
      </c>
      <c r="G70" s="17" t="e">
        <f>IF(OR(ISBLANK('Change in Means- Data Input'!M77),ISBLANK('Change in Means- Data Input'!N77)),"",'Change in Means- Data Input'!N77-'Change in Means- Data Input'!M77)</f>
        <v>#VALUE!</v>
      </c>
      <c r="H70" s="17" t="e">
        <f>IF(OR(ISBLANK('Change in Means- Data Input'!O77),ISBLANK('Change in Means- Data Input'!P77)),"",'Change in Means- Data Input'!P77-'Change in Means- Data Input'!O77)</f>
        <v>#VALUE!</v>
      </c>
      <c r="I70" s="17" t="e">
        <f>IF(OR(ISBLANK('Change in Means- Data Input'!Q77),ISBLANK('Change in Means- Data Input'!R77)),"",'Change in Means- Data Input'!R77-'Change in Means- Data Input'!Q77)</f>
        <v>#VALUE!</v>
      </c>
      <c r="J70" s="17" t="e">
        <f>IF(OR(ISBLANK('Change in Means- Data Input'!S77),ISBLANK('Change in Means- Data Input'!T77)),"",'Change in Means- Data Input'!T77-'Change in Means- Data Input'!S77)</f>
        <v>#VALUE!</v>
      </c>
      <c r="K70" s="1" t="str">
        <f>IF('Change in Means- Data Input'!A77="NA","NULL",COUNTIF('Change in Means- Data Input'!A77,"&gt;=3")+COUNTIF('Change in Means- Data Input'!C77,"&gt;=3")+COUNTIF('Change in Means- Data Input'!E77,"&gt;=3")+COUNTIF('Change in Means- Data Input'!G77,"&gt;=3")+COUNTIF('Change in Means- Data Input'!I77,"&gt;=3")+COUNTIF('Change in Means- Data Input'!K77,"&gt;=3")+COUNTIF('Change in Means- Data Input'!M77,"&gt;=3")+COUNTIF('Change in Means- Data Input'!O77,"&gt;=3")+COUNTIF('Change in Means- Data Input'!Q77,"&gt;=3")+COUNTIF('Change in Means- Data Input'!S77,"&gt;=3"))</f>
        <v>NULL</v>
      </c>
      <c r="L70" s="1" t="str">
        <f>IF('Change in Means- Data Input'!B77="NA","NULL",COUNTIF('Change in Means- Data Input'!B77,"&gt;=3")+COUNTIF('Change in Means- Data Input'!D77,"&gt;=3")+COUNTIF('Change in Means- Data Input'!F77,"&gt;=3")+COUNTIF('Change in Means- Data Input'!H77,"&gt;=3")+COUNTIF('Change in Means- Data Input'!J77,"&gt;=3")+COUNTIF('Change in Means- Data Input'!L77,"&gt;=3")+COUNTIF('Change in Means- Data Input'!N77,"&gt;=3")+COUNTIF('Change in Means- Data Input'!P77,"&gt;=3")+COUNTIF('Change in Means- Data Input'!R77,"&gt;=3")+COUNTIF('Change in Means- Data Input'!T77,"&gt;=3"))</f>
        <v>NULL</v>
      </c>
      <c r="M70" s="1" t="str">
        <f>IF(Table37[[#This Row],[Pre]]="NULL","NULL",IF(COUNTIF(A70:J70,"&gt;0"),"Yes","No"))</f>
        <v>NULL</v>
      </c>
    </row>
    <row r="71" spans="1:13" x14ac:dyDescent="0.2">
      <c r="A71" s="17" t="e">
        <f>IF(OR(ISBLANK('Change in Means- Data Input'!A78), ISBLANK('Change in Means- Data Input'!B78)),"", 'Change in Means- Data Input'!B78-'Change in Means- Data Input'!A78)</f>
        <v>#VALUE!</v>
      </c>
      <c r="B71" s="1" t="e">
        <f>IF(OR(ISBLANK('Change in Means- Data Input'!C78),ISBLANK('Change in Means- Data Input'!D78)),"",'Change in Means- Data Input'!D78-'Change in Means- Data Input'!C78)</f>
        <v>#VALUE!</v>
      </c>
      <c r="C71" s="1" t="e">
        <f>IF(OR(ISBLANK('Change in Means- Data Input'!E78),ISBLANK('Change in Means- Data Input'!F78)),"",'Change in Means- Data Input'!F78-'Change in Means- Data Input'!E78)</f>
        <v>#VALUE!</v>
      </c>
      <c r="D71" s="1" t="e">
        <f>IF(OR(ISBLANK('Change in Means- Data Input'!G78),ISBLANK('Change in Means- Data Input'!H78)),"",'Change in Means- Data Input'!H78-'Change in Means- Data Input'!G78)</f>
        <v>#VALUE!</v>
      </c>
      <c r="E71" s="1" t="e">
        <f>IF(OR(ISBLANK('Change in Means- Data Input'!I78),ISBLANK('Change in Means- Data Input'!J78)),"",'Change in Means- Data Input'!J78-'Change in Means- Data Input'!I78)</f>
        <v>#VALUE!</v>
      </c>
      <c r="F71" s="1" t="e">
        <f>IF(OR(ISBLANK('Change in Means- Data Input'!K78),ISBLANK('Change in Means- Data Input'!L78)),"",'Change in Means- Data Input'!L78-'Change in Means- Data Input'!K78)</f>
        <v>#VALUE!</v>
      </c>
      <c r="G71" s="17" t="e">
        <f>IF(OR(ISBLANK('Change in Means- Data Input'!M78),ISBLANK('Change in Means- Data Input'!N78)),"",'Change in Means- Data Input'!N78-'Change in Means- Data Input'!M78)</f>
        <v>#VALUE!</v>
      </c>
      <c r="H71" s="17" t="e">
        <f>IF(OR(ISBLANK('Change in Means- Data Input'!O78),ISBLANK('Change in Means- Data Input'!P78)),"",'Change in Means- Data Input'!P78-'Change in Means- Data Input'!O78)</f>
        <v>#VALUE!</v>
      </c>
      <c r="I71" s="17" t="e">
        <f>IF(OR(ISBLANK('Change in Means- Data Input'!Q78),ISBLANK('Change in Means- Data Input'!R78)),"",'Change in Means- Data Input'!R78-'Change in Means- Data Input'!Q78)</f>
        <v>#VALUE!</v>
      </c>
      <c r="J71" s="17" t="e">
        <f>IF(OR(ISBLANK('Change in Means- Data Input'!S78),ISBLANK('Change in Means- Data Input'!T78)),"",'Change in Means- Data Input'!T78-'Change in Means- Data Input'!S78)</f>
        <v>#VALUE!</v>
      </c>
      <c r="K71" s="1" t="str">
        <f>IF('Change in Means- Data Input'!A78="NA","NULL",COUNTIF('Change in Means- Data Input'!A78,"&gt;=3")+COUNTIF('Change in Means- Data Input'!C78,"&gt;=3")+COUNTIF('Change in Means- Data Input'!E78,"&gt;=3")+COUNTIF('Change in Means- Data Input'!G78,"&gt;=3")+COUNTIF('Change in Means- Data Input'!I78,"&gt;=3")+COUNTIF('Change in Means- Data Input'!K78,"&gt;=3")+COUNTIF('Change in Means- Data Input'!M78,"&gt;=3")+COUNTIF('Change in Means- Data Input'!O78,"&gt;=3")+COUNTIF('Change in Means- Data Input'!Q78,"&gt;=3")+COUNTIF('Change in Means- Data Input'!S78,"&gt;=3"))</f>
        <v>NULL</v>
      </c>
      <c r="L71" s="1" t="str">
        <f>IF('Change in Means- Data Input'!B78="NA","NULL",COUNTIF('Change in Means- Data Input'!B78,"&gt;=3")+COUNTIF('Change in Means- Data Input'!D78,"&gt;=3")+COUNTIF('Change in Means- Data Input'!F78,"&gt;=3")+COUNTIF('Change in Means- Data Input'!H78,"&gt;=3")+COUNTIF('Change in Means- Data Input'!J78,"&gt;=3")+COUNTIF('Change in Means- Data Input'!L78,"&gt;=3")+COUNTIF('Change in Means- Data Input'!N78,"&gt;=3")+COUNTIF('Change in Means- Data Input'!P78,"&gt;=3")+COUNTIF('Change in Means- Data Input'!R78,"&gt;=3")+COUNTIF('Change in Means- Data Input'!T78,"&gt;=3"))</f>
        <v>NULL</v>
      </c>
      <c r="M71" s="1" t="str">
        <f>IF(Table37[[#This Row],[Pre]]="NULL","NULL",IF(COUNTIF(A71:J71,"&gt;0"),"Yes","No"))</f>
        <v>NULL</v>
      </c>
    </row>
    <row r="72" spans="1:13" x14ac:dyDescent="0.2">
      <c r="A72" s="17" t="e">
        <f>IF(OR(ISBLANK('Change in Means- Data Input'!A79), ISBLANK('Change in Means- Data Input'!B79)),"", 'Change in Means- Data Input'!B79-'Change in Means- Data Input'!A79)</f>
        <v>#VALUE!</v>
      </c>
      <c r="B72" s="1" t="e">
        <f>IF(OR(ISBLANK('Change in Means- Data Input'!C79),ISBLANK('Change in Means- Data Input'!D79)),"",'Change in Means- Data Input'!D79-'Change in Means- Data Input'!C79)</f>
        <v>#VALUE!</v>
      </c>
      <c r="C72" s="1" t="e">
        <f>IF(OR(ISBLANK('Change in Means- Data Input'!E79),ISBLANK('Change in Means- Data Input'!F79)),"",'Change in Means- Data Input'!F79-'Change in Means- Data Input'!E79)</f>
        <v>#VALUE!</v>
      </c>
      <c r="D72" s="1" t="e">
        <f>IF(OR(ISBLANK('Change in Means- Data Input'!G79),ISBLANK('Change in Means- Data Input'!H79)),"",'Change in Means- Data Input'!H79-'Change in Means- Data Input'!G79)</f>
        <v>#VALUE!</v>
      </c>
      <c r="E72" s="1" t="e">
        <f>IF(OR(ISBLANK('Change in Means- Data Input'!I79),ISBLANK('Change in Means- Data Input'!J79)),"",'Change in Means- Data Input'!J79-'Change in Means- Data Input'!I79)</f>
        <v>#VALUE!</v>
      </c>
      <c r="F72" s="1" t="e">
        <f>IF(OR(ISBLANK('Change in Means- Data Input'!K79),ISBLANK('Change in Means- Data Input'!L79)),"",'Change in Means- Data Input'!L79-'Change in Means- Data Input'!K79)</f>
        <v>#VALUE!</v>
      </c>
      <c r="G72" s="17" t="e">
        <f>IF(OR(ISBLANK('Change in Means- Data Input'!M79),ISBLANK('Change in Means- Data Input'!N79)),"",'Change in Means- Data Input'!N79-'Change in Means- Data Input'!M79)</f>
        <v>#VALUE!</v>
      </c>
      <c r="H72" s="17" t="e">
        <f>IF(OR(ISBLANK('Change in Means- Data Input'!O79),ISBLANK('Change in Means- Data Input'!P79)),"",'Change in Means- Data Input'!P79-'Change in Means- Data Input'!O79)</f>
        <v>#VALUE!</v>
      </c>
      <c r="I72" s="17" t="e">
        <f>IF(OR(ISBLANK('Change in Means- Data Input'!Q79),ISBLANK('Change in Means- Data Input'!R79)),"",'Change in Means- Data Input'!R79-'Change in Means- Data Input'!Q79)</f>
        <v>#VALUE!</v>
      </c>
      <c r="J72" s="17" t="e">
        <f>IF(OR(ISBLANK('Change in Means- Data Input'!S79),ISBLANK('Change in Means- Data Input'!T79)),"",'Change in Means- Data Input'!T79-'Change in Means- Data Input'!S79)</f>
        <v>#VALUE!</v>
      </c>
      <c r="K72" s="1" t="str">
        <f>IF('Change in Means- Data Input'!A79="NA","NULL",COUNTIF('Change in Means- Data Input'!A79,"&gt;=3")+COUNTIF('Change in Means- Data Input'!C79,"&gt;=3")+COUNTIF('Change in Means- Data Input'!E79,"&gt;=3")+COUNTIF('Change in Means- Data Input'!G79,"&gt;=3")+COUNTIF('Change in Means- Data Input'!I79,"&gt;=3")+COUNTIF('Change in Means- Data Input'!K79,"&gt;=3")+COUNTIF('Change in Means- Data Input'!M79,"&gt;=3")+COUNTIF('Change in Means- Data Input'!O79,"&gt;=3")+COUNTIF('Change in Means- Data Input'!Q79,"&gt;=3")+COUNTIF('Change in Means- Data Input'!S79,"&gt;=3"))</f>
        <v>NULL</v>
      </c>
      <c r="L72" s="1" t="str">
        <f>IF('Change in Means- Data Input'!B79="NA","NULL",COUNTIF('Change in Means- Data Input'!B79,"&gt;=3")+COUNTIF('Change in Means- Data Input'!D79,"&gt;=3")+COUNTIF('Change in Means- Data Input'!F79,"&gt;=3")+COUNTIF('Change in Means- Data Input'!H79,"&gt;=3")+COUNTIF('Change in Means- Data Input'!J79,"&gt;=3")+COUNTIF('Change in Means- Data Input'!L79,"&gt;=3")+COUNTIF('Change in Means- Data Input'!N79,"&gt;=3")+COUNTIF('Change in Means- Data Input'!P79,"&gt;=3")+COUNTIF('Change in Means- Data Input'!R79,"&gt;=3")+COUNTIF('Change in Means- Data Input'!T79,"&gt;=3"))</f>
        <v>NULL</v>
      </c>
      <c r="M72" s="1" t="str">
        <f>IF(Table37[[#This Row],[Pre]]="NULL","NULL",IF(COUNTIF(A72:J72,"&gt;0"),"Yes","No"))</f>
        <v>NULL</v>
      </c>
    </row>
    <row r="73" spans="1:13" x14ac:dyDescent="0.2">
      <c r="A73" s="17" t="e">
        <f>IF(OR(ISBLANK('Change in Means- Data Input'!A80), ISBLANK('Change in Means- Data Input'!B80)),"", 'Change in Means- Data Input'!B80-'Change in Means- Data Input'!A80)</f>
        <v>#VALUE!</v>
      </c>
      <c r="B73" s="1" t="e">
        <f>IF(OR(ISBLANK('Change in Means- Data Input'!C80),ISBLANK('Change in Means- Data Input'!D80)),"",'Change in Means- Data Input'!D80-'Change in Means- Data Input'!C80)</f>
        <v>#VALUE!</v>
      </c>
      <c r="C73" s="1" t="e">
        <f>IF(OR(ISBLANK('Change in Means- Data Input'!E80),ISBLANK('Change in Means- Data Input'!F80)),"",'Change in Means- Data Input'!F80-'Change in Means- Data Input'!E80)</f>
        <v>#VALUE!</v>
      </c>
      <c r="D73" s="1" t="e">
        <f>IF(OR(ISBLANK('Change in Means- Data Input'!G80),ISBLANK('Change in Means- Data Input'!H80)),"",'Change in Means- Data Input'!H80-'Change in Means- Data Input'!G80)</f>
        <v>#VALUE!</v>
      </c>
      <c r="E73" s="1" t="e">
        <f>IF(OR(ISBLANK('Change in Means- Data Input'!I80),ISBLANK('Change in Means- Data Input'!J80)),"",'Change in Means- Data Input'!J80-'Change in Means- Data Input'!I80)</f>
        <v>#VALUE!</v>
      </c>
      <c r="F73" s="1" t="e">
        <f>IF(OR(ISBLANK('Change in Means- Data Input'!K80),ISBLANK('Change in Means- Data Input'!L80)),"",'Change in Means- Data Input'!L80-'Change in Means- Data Input'!K80)</f>
        <v>#VALUE!</v>
      </c>
      <c r="G73" s="17" t="e">
        <f>IF(OR(ISBLANK('Change in Means- Data Input'!M80),ISBLANK('Change in Means- Data Input'!N80)),"",'Change in Means- Data Input'!N80-'Change in Means- Data Input'!M80)</f>
        <v>#VALUE!</v>
      </c>
      <c r="H73" s="17" t="e">
        <f>IF(OR(ISBLANK('Change in Means- Data Input'!O80),ISBLANK('Change in Means- Data Input'!P80)),"",'Change in Means- Data Input'!P80-'Change in Means- Data Input'!O80)</f>
        <v>#VALUE!</v>
      </c>
      <c r="I73" s="17" t="e">
        <f>IF(OR(ISBLANK('Change in Means- Data Input'!Q80),ISBLANK('Change in Means- Data Input'!R80)),"",'Change in Means- Data Input'!R80-'Change in Means- Data Input'!Q80)</f>
        <v>#VALUE!</v>
      </c>
      <c r="J73" s="17" t="e">
        <f>IF(OR(ISBLANK('Change in Means- Data Input'!S80),ISBLANK('Change in Means- Data Input'!T80)),"",'Change in Means- Data Input'!T80-'Change in Means- Data Input'!S80)</f>
        <v>#VALUE!</v>
      </c>
      <c r="K73" s="1" t="str">
        <f>IF('Change in Means- Data Input'!A80="NA","NULL",COUNTIF('Change in Means- Data Input'!A80,"&gt;=3")+COUNTIF('Change in Means- Data Input'!C80,"&gt;=3")+COUNTIF('Change in Means- Data Input'!E80,"&gt;=3")+COUNTIF('Change in Means- Data Input'!G80,"&gt;=3")+COUNTIF('Change in Means- Data Input'!I80,"&gt;=3")+COUNTIF('Change in Means- Data Input'!K80,"&gt;=3")+COUNTIF('Change in Means- Data Input'!M80,"&gt;=3")+COUNTIF('Change in Means- Data Input'!O80,"&gt;=3")+COUNTIF('Change in Means- Data Input'!Q80,"&gt;=3")+COUNTIF('Change in Means- Data Input'!S80,"&gt;=3"))</f>
        <v>NULL</v>
      </c>
      <c r="L73" s="1" t="str">
        <f>IF('Change in Means- Data Input'!B80="NA","NULL",COUNTIF('Change in Means- Data Input'!B80,"&gt;=3")+COUNTIF('Change in Means- Data Input'!D80,"&gt;=3")+COUNTIF('Change in Means- Data Input'!F80,"&gt;=3")+COUNTIF('Change in Means- Data Input'!H80,"&gt;=3")+COUNTIF('Change in Means- Data Input'!J80,"&gt;=3")+COUNTIF('Change in Means- Data Input'!L80,"&gt;=3")+COUNTIF('Change in Means- Data Input'!N80,"&gt;=3")+COUNTIF('Change in Means- Data Input'!P80,"&gt;=3")+COUNTIF('Change in Means- Data Input'!R80,"&gt;=3")+COUNTIF('Change in Means- Data Input'!T80,"&gt;=3"))</f>
        <v>NULL</v>
      </c>
      <c r="M73" s="1" t="str">
        <f>IF(Table37[[#This Row],[Pre]]="NULL","NULL",IF(COUNTIF(A73:J73,"&gt;0"),"Yes","No"))</f>
        <v>NULL</v>
      </c>
    </row>
    <row r="74" spans="1:13" x14ac:dyDescent="0.2">
      <c r="A74" s="17" t="e">
        <f>IF(OR(ISBLANK('Change in Means- Data Input'!A81), ISBLANK('Change in Means- Data Input'!B81)),"", 'Change in Means- Data Input'!B81-'Change in Means- Data Input'!A81)</f>
        <v>#VALUE!</v>
      </c>
      <c r="B74" s="1" t="e">
        <f>IF(OR(ISBLANK('Change in Means- Data Input'!C81),ISBLANK('Change in Means- Data Input'!D81)),"",'Change in Means- Data Input'!D81-'Change in Means- Data Input'!C81)</f>
        <v>#VALUE!</v>
      </c>
      <c r="C74" s="1" t="e">
        <f>IF(OR(ISBLANK('Change in Means- Data Input'!E81),ISBLANK('Change in Means- Data Input'!F81)),"",'Change in Means- Data Input'!F81-'Change in Means- Data Input'!E81)</f>
        <v>#VALUE!</v>
      </c>
      <c r="D74" s="1" t="e">
        <f>IF(OR(ISBLANK('Change in Means- Data Input'!G81),ISBLANK('Change in Means- Data Input'!H81)),"",'Change in Means- Data Input'!H81-'Change in Means- Data Input'!G81)</f>
        <v>#VALUE!</v>
      </c>
      <c r="E74" s="1" t="e">
        <f>IF(OR(ISBLANK('Change in Means- Data Input'!I81),ISBLANK('Change in Means- Data Input'!J81)),"",'Change in Means- Data Input'!J81-'Change in Means- Data Input'!I81)</f>
        <v>#VALUE!</v>
      </c>
      <c r="F74" s="1" t="e">
        <f>IF(OR(ISBLANK('Change in Means- Data Input'!K81),ISBLANK('Change in Means- Data Input'!L81)),"",'Change in Means- Data Input'!L81-'Change in Means- Data Input'!K81)</f>
        <v>#VALUE!</v>
      </c>
      <c r="G74" s="17" t="e">
        <f>IF(OR(ISBLANK('Change in Means- Data Input'!M81),ISBLANK('Change in Means- Data Input'!N81)),"",'Change in Means- Data Input'!N81-'Change in Means- Data Input'!M81)</f>
        <v>#VALUE!</v>
      </c>
      <c r="H74" s="17" t="e">
        <f>IF(OR(ISBLANK('Change in Means- Data Input'!O81),ISBLANK('Change in Means- Data Input'!P81)),"",'Change in Means- Data Input'!P81-'Change in Means- Data Input'!O81)</f>
        <v>#VALUE!</v>
      </c>
      <c r="I74" s="17" t="e">
        <f>IF(OR(ISBLANK('Change in Means- Data Input'!Q81),ISBLANK('Change in Means- Data Input'!R81)),"",'Change in Means- Data Input'!R81-'Change in Means- Data Input'!Q81)</f>
        <v>#VALUE!</v>
      </c>
      <c r="J74" s="17" t="e">
        <f>IF(OR(ISBLANK('Change in Means- Data Input'!S81),ISBLANK('Change in Means- Data Input'!T81)),"",'Change in Means- Data Input'!T81-'Change in Means- Data Input'!S81)</f>
        <v>#VALUE!</v>
      </c>
      <c r="K74" s="1" t="str">
        <f>IF('Change in Means- Data Input'!A81="NA","NULL",COUNTIF('Change in Means- Data Input'!A81,"&gt;=3")+COUNTIF('Change in Means- Data Input'!C81,"&gt;=3")+COUNTIF('Change in Means- Data Input'!E81,"&gt;=3")+COUNTIF('Change in Means- Data Input'!G81,"&gt;=3")+COUNTIF('Change in Means- Data Input'!I81,"&gt;=3")+COUNTIF('Change in Means- Data Input'!K81,"&gt;=3")+COUNTIF('Change in Means- Data Input'!M81,"&gt;=3")+COUNTIF('Change in Means- Data Input'!O81,"&gt;=3")+COUNTIF('Change in Means- Data Input'!Q81,"&gt;=3")+COUNTIF('Change in Means- Data Input'!S81,"&gt;=3"))</f>
        <v>NULL</v>
      </c>
      <c r="L74" s="1" t="str">
        <f>IF('Change in Means- Data Input'!B81="NA","NULL",COUNTIF('Change in Means- Data Input'!B81,"&gt;=3")+COUNTIF('Change in Means- Data Input'!D81,"&gt;=3")+COUNTIF('Change in Means- Data Input'!F81,"&gt;=3")+COUNTIF('Change in Means- Data Input'!H81,"&gt;=3")+COUNTIF('Change in Means- Data Input'!J81,"&gt;=3")+COUNTIF('Change in Means- Data Input'!L81,"&gt;=3")+COUNTIF('Change in Means- Data Input'!N81,"&gt;=3")+COUNTIF('Change in Means- Data Input'!P81,"&gt;=3")+COUNTIF('Change in Means- Data Input'!R81,"&gt;=3")+COUNTIF('Change in Means- Data Input'!T81,"&gt;=3"))</f>
        <v>NULL</v>
      </c>
      <c r="M74" s="1" t="str">
        <f>IF(Table37[[#This Row],[Pre]]="NULL","NULL",IF(COUNTIF(A74:J74,"&gt;0"),"Yes","No"))</f>
        <v>NULL</v>
      </c>
    </row>
    <row r="75" spans="1:13" x14ac:dyDescent="0.2">
      <c r="A75" s="17" t="e">
        <f>IF(OR(ISBLANK('Change in Means- Data Input'!A82), ISBLANK('Change in Means- Data Input'!B82)),"", 'Change in Means- Data Input'!B82-'Change in Means- Data Input'!A82)</f>
        <v>#VALUE!</v>
      </c>
      <c r="B75" s="1" t="e">
        <f>IF(OR(ISBLANK('Change in Means- Data Input'!C82),ISBLANK('Change in Means- Data Input'!D82)),"",'Change in Means- Data Input'!D82-'Change in Means- Data Input'!C82)</f>
        <v>#VALUE!</v>
      </c>
      <c r="C75" s="1" t="e">
        <f>IF(OR(ISBLANK('Change in Means- Data Input'!E82),ISBLANK('Change in Means- Data Input'!F82)),"",'Change in Means- Data Input'!F82-'Change in Means- Data Input'!E82)</f>
        <v>#VALUE!</v>
      </c>
      <c r="D75" s="1" t="e">
        <f>IF(OR(ISBLANK('Change in Means- Data Input'!G82),ISBLANK('Change in Means- Data Input'!H82)),"",'Change in Means- Data Input'!H82-'Change in Means- Data Input'!G82)</f>
        <v>#VALUE!</v>
      </c>
      <c r="E75" s="1" t="e">
        <f>IF(OR(ISBLANK('Change in Means- Data Input'!I82),ISBLANK('Change in Means- Data Input'!J82)),"",'Change in Means- Data Input'!J82-'Change in Means- Data Input'!I82)</f>
        <v>#VALUE!</v>
      </c>
      <c r="F75" s="1" t="e">
        <f>IF(OR(ISBLANK('Change in Means- Data Input'!K82),ISBLANK('Change in Means- Data Input'!L82)),"",'Change in Means- Data Input'!L82-'Change in Means- Data Input'!K82)</f>
        <v>#VALUE!</v>
      </c>
      <c r="G75" s="17" t="e">
        <f>IF(OR(ISBLANK('Change in Means- Data Input'!M82),ISBLANK('Change in Means- Data Input'!N82)),"",'Change in Means- Data Input'!N82-'Change in Means- Data Input'!M82)</f>
        <v>#VALUE!</v>
      </c>
      <c r="H75" s="17" t="e">
        <f>IF(OR(ISBLANK('Change in Means- Data Input'!O82),ISBLANK('Change in Means- Data Input'!P82)),"",'Change in Means- Data Input'!P82-'Change in Means- Data Input'!O82)</f>
        <v>#VALUE!</v>
      </c>
      <c r="I75" s="17" t="e">
        <f>IF(OR(ISBLANK('Change in Means- Data Input'!Q82),ISBLANK('Change in Means- Data Input'!R82)),"",'Change in Means- Data Input'!R82-'Change in Means- Data Input'!Q82)</f>
        <v>#VALUE!</v>
      </c>
      <c r="J75" s="17" t="e">
        <f>IF(OR(ISBLANK('Change in Means- Data Input'!S82),ISBLANK('Change in Means- Data Input'!T82)),"",'Change in Means- Data Input'!T82-'Change in Means- Data Input'!S82)</f>
        <v>#VALUE!</v>
      </c>
      <c r="K75" s="1" t="str">
        <f>IF('Change in Means- Data Input'!A82="NA","NULL",COUNTIF('Change in Means- Data Input'!A82,"&gt;=3")+COUNTIF('Change in Means- Data Input'!C82,"&gt;=3")+COUNTIF('Change in Means- Data Input'!E82,"&gt;=3")+COUNTIF('Change in Means- Data Input'!G82,"&gt;=3")+COUNTIF('Change in Means- Data Input'!I82,"&gt;=3")+COUNTIF('Change in Means- Data Input'!K82,"&gt;=3")+COUNTIF('Change in Means- Data Input'!M82,"&gt;=3")+COUNTIF('Change in Means- Data Input'!O82,"&gt;=3")+COUNTIF('Change in Means- Data Input'!Q82,"&gt;=3")+COUNTIF('Change in Means- Data Input'!S82,"&gt;=3"))</f>
        <v>NULL</v>
      </c>
      <c r="L75" s="1" t="str">
        <f>IF('Change in Means- Data Input'!B82="NA","NULL",COUNTIF('Change in Means- Data Input'!B82,"&gt;=3")+COUNTIF('Change in Means- Data Input'!D82,"&gt;=3")+COUNTIF('Change in Means- Data Input'!F82,"&gt;=3")+COUNTIF('Change in Means- Data Input'!H82,"&gt;=3")+COUNTIF('Change in Means- Data Input'!J82,"&gt;=3")+COUNTIF('Change in Means- Data Input'!L82,"&gt;=3")+COUNTIF('Change in Means- Data Input'!N82,"&gt;=3")+COUNTIF('Change in Means- Data Input'!P82,"&gt;=3")+COUNTIF('Change in Means- Data Input'!R82,"&gt;=3")+COUNTIF('Change in Means- Data Input'!T82,"&gt;=3"))</f>
        <v>NULL</v>
      </c>
      <c r="M75" s="1" t="str">
        <f>IF(Table37[[#This Row],[Pre]]="NULL","NULL",IF(COUNTIF(A75:J75,"&gt;0"),"Yes","No"))</f>
        <v>NULL</v>
      </c>
    </row>
    <row r="76" spans="1:13" x14ac:dyDescent="0.2">
      <c r="A76" s="17" t="e">
        <f>IF(OR(ISBLANK('Change in Means- Data Input'!A83), ISBLANK('Change in Means- Data Input'!B83)),"", 'Change in Means- Data Input'!B83-'Change in Means- Data Input'!A83)</f>
        <v>#VALUE!</v>
      </c>
      <c r="B76" s="1" t="e">
        <f>IF(OR(ISBLANK('Change in Means- Data Input'!C83),ISBLANK('Change in Means- Data Input'!D83)),"",'Change in Means- Data Input'!D83-'Change in Means- Data Input'!C83)</f>
        <v>#VALUE!</v>
      </c>
      <c r="C76" s="1" t="e">
        <f>IF(OR(ISBLANK('Change in Means- Data Input'!E83),ISBLANK('Change in Means- Data Input'!F83)),"",'Change in Means- Data Input'!F83-'Change in Means- Data Input'!E83)</f>
        <v>#VALUE!</v>
      </c>
      <c r="D76" s="1" t="e">
        <f>IF(OR(ISBLANK('Change in Means- Data Input'!G83),ISBLANK('Change in Means- Data Input'!H83)),"",'Change in Means- Data Input'!H83-'Change in Means- Data Input'!G83)</f>
        <v>#VALUE!</v>
      </c>
      <c r="E76" s="1" t="e">
        <f>IF(OR(ISBLANK('Change in Means- Data Input'!I83),ISBLANK('Change in Means- Data Input'!J83)),"",'Change in Means- Data Input'!J83-'Change in Means- Data Input'!I83)</f>
        <v>#VALUE!</v>
      </c>
      <c r="F76" s="1" t="e">
        <f>IF(OR(ISBLANK('Change in Means- Data Input'!K83),ISBLANK('Change in Means- Data Input'!L83)),"",'Change in Means- Data Input'!L83-'Change in Means- Data Input'!K83)</f>
        <v>#VALUE!</v>
      </c>
      <c r="G76" s="17" t="e">
        <f>IF(OR(ISBLANK('Change in Means- Data Input'!M83),ISBLANK('Change in Means- Data Input'!N83)),"",'Change in Means- Data Input'!N83-'Change in Means- Data Input'!M83)</f>
        <v>#VALUE!</v>
      </c>
      <c r="H76" s="17" t="e">
        <f>IF(OR(ISBLANK('Change in Means- Data Input'!O83),ISBLANK('Change in Means- Data Input'!P83)),"",'Change in Means- Data Input'!P83-'Change in Means- Data Input'!O83)</f>
        <v>#VALUE!</v>
      </c>
      <c r="I76" s="17" t="e">
        <f>IF(OR(ISBLANK('Change in Means- Data Input'!Q83),ISBLANK('Change in Means- Data Input'!R83)),"",'Change in Means- Data Input'!R83-'Change in Means- Data Input'!Q83)</f>
        <v>#VALUE!</v>
      </c>
      <c r="J76" s="17" t="e">
        <f>IF(OR(ISBLANK('Change in Means- Data Input'!S83),ISBLANK('Change in Means- Data Input'!T83)),"",'Change in Means- Data Input'!T83-'Change in Means- Data Input'!S83)</f>
        <v>#VALUE!</v>
      </c>
      <c r="K76" s="1" t="str">
        <f>IF('Change in Means- Data Input'!A83="NA","NULL",COUNTIF('Change in Means- Data Input'!A83,"&gt;=3")+COUNTIF('Change in Means- Data Input'!C83,"&gt;=3")+COUNTIF('Change in Means- Data Input'!E83,"&gt;=3")+COUNTIF('Change in Means- Data Input'!G83,"&gt;=3")+COUNTIF('Change in Means- Data Input'!I83,"&gt;=3")+COUNTIF('Change in Means- Data Input'!K83,"&gt;=3")+COUNTIF('Change in Means- Data Input'!M83,"&gt;=3")+COUNTIF('Change in Means- Data Input'!O83,"&gt;=3")+COUNTIF('Change in Means- Data Input'!Q83,"&gt;=3")+COUNTIF('Change in Means- Data Input'!S83,"&gt;=3"))</f>
        <v>NULL</v>
      </c>
      <c r="L76" s="1" t="str">
        <f>IF('Change in Means- Data Input'!B83="NA","NULL",COUNTIF('Change in Means- Data Input'!B83,"&gt;=3")+COUNTIF('Change in Means- Data Input'!D83,"&gt;=3")+COUNTIF('Change in Means- Data Input'!F83,"&gt;=3")+COUNTIF('Change in Means- Data Input'!H83,"&gt;=3")+COUNTIF('Change in Means- Data Input'!J83,"&gt;=3")+COUNTIF('Change in Means- Data Input'!L83,"&gt;=3")+COUNTIF('Change in Means- Data Input'!N83,"&gt;=3")+COUNTIF('Change in Means- Data Input'!P83,"&gt;=3")+COUNTIF('Change in Means- Data Input'!R83,"&gt;=3")+COUNTIF('Change in Means- Data Input'!T83,"&gt;=3"))</f>
        <v>NULL</v>
      </c>
      <c r="M76" s="1" t="str">
        <f>IF(Table37[[#This Row],[Pre]]="NULL","NULL",IF(COUNTIF(A76:J76,"&gt;0"),"Yes","No"))</f>
        <v>NULL</v>
      </c>
    </row>
    <row r="77" spans="1:13" x14ac:dyDescent="0.2">
      <c r="A77" s="17" t="e">
        <f>IF(OR(ISBLANK('Change in Means- Data Input'!A84), ISBLANK('Change in Means- Data Input'!B84)),"", 'Change in Means- Data Input'!B84-'Change in Means- Data Input'!A84)</f>
        <v>#VALUE!</v>
      </c>
      <c r="B77" s="1" t="e">
        <f>IF(OR(ISBLANK('Change in Means- Data Input'!C84),ISBLANK('Change in Means- Data Input'!D84)),"",'Change in Means- Data Input'!D84-'Change in Means- Data Input'!C84)</f>
        <v>#VALUE!</v>
      </c>
      <c r="C77" s="1" t="e">
        <f>IF(OR(ISBLANK('Change in Means- Data Input'!E84),ISBLANK('Change in Means- Data Input'!F84)),"",'Change in Means- Data Input'!F84-'Change in Means- Data Input'!E84)</f>
        <v>#VALUE!</v>
      </c>
      <c r="D77" s="1" t="e">
        <f>IF(OR(ISBLANK('Change in Means- Data Input'!G84),ISBLANK('Change in Means- Data Input'!H84)),"",'Change in Means- Data Input'!H84-'Change in Means- Data Input'!G84)</f>
        <v>#VALUE!</v>
      </c>
      <c r="E77" s="1" t="e">
        <f>IF(OR(ISBLANK('Change in Means- Data Input'!I84),ISBLANK('Change in Means- Data Input'!J84)),"",'Change in Means- Data Input'!J84-'Change in Means- Data Input'!I84)</f>
        <v>#VALUE!</v>
      </c>
      <c r="F77" s="1" t="e">
        <f>IF(OR(ISBLANK('Change in Means- Data Input'!K84),ISBLANK('Change in Means- Data Input'!L84)),"",'Change in Means- Data Input'!L84-'Change in Means- Data Input'!K84)</f>
        <v>#VALUE!</v>
      </c>
      <c r="G77" s="17" t="e">
        <f>IF(OR(ISBLANK('Change in Means- Data Input'!M84),ISBLANK('Change in Means- Data Input'!N84)),"",'Change in Means- Data Input'!N84-'Change in Means- Data Input'!M84)</f>
        <v>#VALUE!</v>
      </c>
      <c r="H77" s="17" t="e">
        <f>IF(OR(ISBLANK('Change in Means- Data Input'!O84),ISBLANK('Change in Means- Data Input'!P84)),"",'Change in Means- Data Input'!P84-'Change in Means- Data Input'!O84)</f>
        <v>#VALUE!</v>
      </c>
      <c r="I77" s="17" t="e">
        <f>IF(OR(ISBLANK('Change in Means- Data Input'!Q84),ISBLANK('Change in Means- Data Input'!R84)),"",'Change in Means- Data Input'!R84-'Change in Means- Data Input'!Q84)</f>
        <v>#VALUE!</v>
      </c>
      <c r="J77" s="17" t="e">
        <f>IF(OR(ISBLANK('Change in Means- Data Input'!S84),ISBLANK('Change in Means- Data Input'!T84)),"",'Change in Means- Data Input'!T84-'Change in Means- Data Input'!S84)</f>
        <v>#VALUE!</v>
      </c>
      <c r="K77" s="1" t="str">
        <f>IF('Change in Means- Data Input'!A84="NA","NULL",COUNTIF('Change in Means- Data Input'!A84,"&gt;=3")+COUNTIF('Change in Means- Data Input'!C84,"&gt;=3")+COUNTIF('Change in Means- Data Input'!E84,"&gt;=3")+COUNTIF('Change in Means- Data Input'!G84,"&gt;=3")+COUNTIF('Change in Means- Data Input'!I84,"&gt;=3")+COUNTIF('Change in Means- Data Input'!K84,"&gt;=3")+COUNTIF('Change in Means- Data Input'!M84,"&gt;=3")+COUNTIF('Change in Means- Data Input'!O84,"&gt;=3")+COUNTIF('Change in Means- Data Input'!Q84,"&gt;=3")+COUNTIF('Change in Means- Data Input'!S84,"&gt;=3"))</f>
        <v>NULL</v>
      </c>
      <c r="L77" s="1" t="str">
        <f>IF('Change in Means- Data Input'!B84="NA","NULL",COUNTIF('Change in Means- Data Input'!B84,"&gt;=3")+COUNTIF('Change in Means- Data Input'!D84,"&gt;=3")+COUNTIF('Change in Means- Data Input'!F84,"&gt;=3")+COUNTIF('Change in Means- Data Input'!H84,"&gt;=3")+COUNTIF('Change in Means- Data Input'!J84,"&gt;=3")+COUNTIF('Change in Means- Data Input'!L84,"&gt;=3")+COUNTIF('Change in Means- Data Input'!N84,"&gt;=3")+COUNTIF('Change in Means- Data Input'!P84,"&gt;=3")+COUNTIF('Change in Means- Data Input'!R84,"&gt;=3")+COUNTIF('Change in Means- Data Input'!T84,"&gt;=3"))</f>
        <v>NULL</v>
      </c>
      <c r="M77" s="1" t="str">
        <f>IF(Table37[[#This Row],[Pre]]="NULL","NULL",IF(COUNTIF(A77:J77,"&gt;0"),"Yes","No"))</f>
        <v>NULL</v>
      </c>
    </row>
    <row r="78" spans="1:13" x14ac:dyDescent="0.2">
      <c r="A78" s="17" t="e">
        <f>IF(OR(ISBLANK('Change in Means- Data Input'!A85), ISBLANK('Change in Means- Data Input'!B85)),"", 'Change in Means- Data Input'!B85-'Change in Means- Data Input'!A85)</f>
        <v>#VALUE!</v>
      </c>
      <c r="B78" s="1" t="e">
        <f>IF(OR(ISBLANK('Change in Means- Data Input'!C85),ISBLANK('Change in Means- Data Input'!D85)),"",'Change in Means- Data Input'!D85-'Change in Means- Data Input'!C85)</f>
        <v>#VALUE!</v>
      </c>
      <c r="C78" s="1" t="e">
        <f>IF(OR(ISBLANK('Change in Means- Data Input'!E85),ISBLANK('Change in Means- Data Input'!F85)),"",'Change in Means- Data Input'!F85-'Change in Means- Data Input'!E85)</f>
        <v>#VALUE!</v>
      </c>
      <c r="D78" s="1" t="e">
        <f>IF(OR(ISBLANK('Change in Means- Data Input'!G85),ISBLANK('Change in Means- Data Input'!H85)),"",'Change in Means- Data Input'!H85-'Change in Means- Data Input'!G85)</f>
        <v>#VALUE!</v>
      </c>
      <c r="E78" s="1" t="e">
        <f>IF(OR(ISBLANK('Change in Means- Data Input'!I85),ISBLANK('Change in Means- Data Input'!J85)),"",'Change in Means- Data Input'!J85-'Change in Means- Data Input'!I85)</f>
        <v>#VALUE!</v>
      </c>
      <c r="F78" s="1" t="e">
        <f>IF(OR(ISBLANK('Change in Means- Data Input'!K85),ISBLANK('Change in Means- Data Input'!L85)),"",'Change in Means- Data Input'!L85-'Change in Means- Data Input'!K85)</f>
        <v>#VALUE!</v>
      </c>
      <c r="G78" s="17" t="e">
        <f>IF(OR(ISBLANK('Change in Means- Data Input'!M85),ISBLANK('Change in Means- Data Input'!N85)),"",'Change in Means- Data Input'!N85-'Change in Means- Data Input'!M85)</f>
        <v>#VALUE!</v>
      </c>
      <c r="H78" s="17" t="e">
        <f>IF(OR(ISBLANK('Change in Means- Data Input'!O85),ISBLANK('Change in Means- Data Input'!P85)),"",'Change in Means- Data Input'!P85-'Change in Means- Data Input'!O85)</f>
        <v>#VALUE!</v>
      </c>
      <c r="I78" s="17" t="e">
        <f>IF(OR(ISBLANK('Change in Means- Data Input'!Q85),ISBLANK('Change in Means- Data Input'!R85)),"",'Change in Means- Data Input'!R85-'Change in Means- Data Input'!Q85)</f>
        <v>#VALUE!</v>
      </c>
      <c r="J78" s="17" t="e">
        <f>IF(OR(ISBLANK('Change in Means- Data Input'!S85),ISBLANK('Change in Means- Data Input'!T85)),"",'Change in Means- Data Input'!T85-'Change in Means- Data Input'!S85)</f>
        <v>#VALUE!</v>
      </c>
      <c r="K78" s="1" t="str">
        <f>IF('Change in Means- Data Input'!A85="NA","NULL",COUNTIF('Change in Means- Data Input'!A85,"&gt;=3")+COUNTIF('Change in Means- Data Input'!C85,"&gt;=3")+COUNTIF('Change in Means- Data Input'!E85,"&gt;=3")+COUNTIF('Change in Means- Data Input'!G85,"&gt;=3")+COUNTIF('Change in Means- Data Input'!I85,"&gt;=3")+COUNTIF('Change in Means- Data Input'!K85,"&gt;=3")+COUNTIF('Change in Means- Data Input'!M85,"&gt;=3")+COUNTIF('Change in Means- Data Input'!O85,"&gt;=3")+COUNTIF('Change in Means- Data Input'!Q85,"&gt;=3")+COUNTIF('Change in Means- Data Input'!S85,"&gt;=3"))</f>
        <v>NULL</v>
      </c>
      <c r="L78" s="1" t="str">
        <f>IF('Change in Means- Data Input'!B85="NA","NULL",COUNTIF('Change in Means- Data Input'!B85,"&gt;=3")+COUNTIF('Change in Means- Data Input'!D85,"&gt;=3")+COUNTIF('Change in Means- Data Input'!F85,"&gt;=3")+COUNTIF('Change in Means- Data Input'!H85,"&gt;=3")+COUNTIF('Change in Means- Data Input'!J85,"&gt;=3")+COUNTIF('Change in Means- Data Input'!L85,"&gt;=3")+COUNTIF('Change in Means- Data Input'!N85,"&gt;=3")+COUNTIF('Change in Means- Data Input'!P85,"&gt;=3")+COUNTIF('Change in Means- Data Input'!R85,"&gt;=3")+COUNTIF('Change in Means- Data Input'!T85,"&gt;=3"))</f>
        <v>NULL</v>
      </c>
      <c r="M78" s="1" t="str">
        <f>IF(Table37[[#This Row],[Pre]]="NULL","NULL",IF(COUNTIF(A78:J78,"&gt;0"),"Yes","No"))</f>
        <v>NULL</v>
      </c>
    </row>
    <row r="79" spans="1:13" x14ac:dyDescent="0.2">
      <c r="A79" s="17" t="e">
        <f>IF(OR(ISBLANK('Change in Means- Data Input'!A86), ISBLANK('Change in Means- Data Input'!B86)),"", 'Change in Means- Data Input'!B86-'Change in Means- Data Input'!A86)</f>
        <v>#VALUE!</v>
      </c>
      <c r="B79" s="1" t="e">
        <f>IF(OR(ISBLANK('Change in Means- Data Input'!C86),ISBLANK('Change in Means- Data Input'!D86)),"",'Change in Means- Data Input'!D86-'Change in Means- Data Input'!C86)</f>
        <v>#VALUE!</v>
      </c>
      <c r="C79" s="1" t="e">
        <f>IF(OR(ISBLANK('Change in Means- Data Input'!E86),ISBLANK('Change in Means- Data Input'!F86)),"",'Change in Means- Data Input'!F86-'Change in Means- Data Input'!E86)</f>
        <v>#VALUE!</v>
      </c>
      <c r="D79" s="1" t="e">
        <f>IF(OR(ISBLANK('Change in Means- Data Input'!G86),ISBLANK('Change in Means- Data Input'!H86)),"",'Change in Means- Data Input'!H86-'Change in Means- Data Input'!G86)</f>
        <v>#VALUE!</v>
      </c>
      <c r="E79" s="1" t="e">
        <f>IF(OR(ISBLANK('Change in Means- Data Input'!I86),ISBLANK('Change in Means- Data Input'!J86)),"",'Change in Means- Data Input'!J86-'Change in Means- Data Input'!I86)</f>
        <v>#VALUE!</v>
      </c>
      <c r="F79" s="1" t="e">
        <f>IF(OR(ISBLANK('Change in Means- Data Input'!K86),ISBLANK('Change in Means- Data Input'!L86)),"",'Change in Means- Data Input'!L86-'Change in Means- Data Input'!K86)</f>
        <v>#VALUE!</v>
      </c>
      <c r="G79" s="17" t="e">
        <f>IF(OR(ISBLANK('Change in Means- Data Input'!M86),ISBLANK('Change in Means- Data Input'!N86)),"",'Change in Means- Data Input'!N86-'Change in Means- Data Input'!M86)</f>
        <v>#VALUE!</v>
      </c>
      <c r="H79" s="17" t="e">
        <f>IF(OR(ISBLANK('Change in Means- Data Input'!O86),ISBLANK('Change in Means- Data Input'!P86)),"",'Change in Means- Data Input'!P86-'Change in Means- Data Input'!O86)</f>
        <v>#VALUE!</v>
      </c>
      <c r="I79" s="17" t="e">
        <f>IF(OR(ISBLANK('Change in Means- Data Input'!Q86),ISBLANK('Change in Means- Data Input'!R86)),"",'Change in Means- Data Input'!R86-'Change in Means- Data Input'!Q86)</f>
        <v>#VALUE!</v>
      </c>
      <c r="J79" s="17" t="e">
        <f>IF(OR(ISBLANK('Change in Means- Data Input'!S86),ISBLANK('Change in Means- Data Input'!T86)),"",'Change in Means- Data Input'!T86-'Change in Means- Data Input'!S86)</f>
        <v>#VALUE!</v>
      </c>
      <c r="K79" s="1" t="str">
        <f>IF('Change in Means- Data Input'!A86="NA","NULL",COUNTIF('Change in Means- Data Input'!A86,"&gt;=3")+COUNTIF('Change in Means- Data Input'!C86,"&gt;=3")+COUNTIF('Change in Means- Data Input'!E86,"&gt;=3")+COUNTIF('Change in Means- Data Input'!G86,"&gt;=3")+COUNTIF('Change in Means- Data Input'!I86,"&gt;=3")+COUNTIF('Change in Means- Data Input'!K86,"&gt;=3")+COUNTIF('Change in Means- Data Input'!M86,"&gt;=3")+COUNTIF('Change in Means- Data Input'!O86,"&gt;=3")+COUNTIF('Change in Means- Data Input'!Q86,"&gt;=3")+COUNTIF('Change in Means- Data Input'!S86,"&gt;=3"))</f>
        <v>NULL</v>
      </c>
      <c r="L79" s="1" t="str">
        <f>IF('Change in Means- Data Input'!B86="NA","NULL",COUNTIF('Change in Means- Data Input'!B86,"&gt;=3")+COUNTIF('Change in Means- Data Input'!D86,"&gt;=3")+COUNTIF('Change in Means- Data Input'!F86,"&gt;=3")+COUNTIF('Change in Means- Data Input'!H86,"&gt;=3")+COUNTIF('Change in Means- Data Input'!J86,"&gt;=3")+COUNTIF('Change in Means- Data Input'!L86,"&gt;=3")+COUNTIF('Change in Means- Data Input'!N86,"&gt;=3")+COUNTIF('Change in Means- Data Input'!P86,"&gt;=3")+COUNTIF('Change in Means- Data Input'!R86,"&gt;=3")+COUNTIF('Change in Means- Data Input'!T86,"&gt;=3"))</f>
        <v>NULL</v>
      </c>
      <c r="M79" s="1" t="str">
        <f>IF(Table37[[#This Row],[Pre]]="NULL","NULL",IF(COUNTIF(A79:J79,"&gt;0"),"Yes","No"))</f>
        <v>NULL</v>
      </c>
    </row>
    <row r="80" spans="1:13" x14ac:dyDescent="0.2">
      <c r="A80" s="17" t="e">
        <f>IF(OR(ISBLANK('Change in Means- Data Input'!A87), ISBLANK('Change in Means- Data Input'!B87)),"", 'Change in Means- Data Input'!B87-'Change in Means- Data Input'!A87)</f>
        <v>#VALUE!</v>
      </c>
      <c r="B80" s="1" t="e">
        <f>IF(OR(ISBLANK('Change in Means- Data Input'!C87),ISBLANK('Change in Means- Data Input'!D87)),"",'Change in Means- Data Input'!D87-'Change in Means- Data Input'!C87)</f>
        <v>#VALUE!</v>
      </c>
      <c r="C80" s="1" t="e">
        <f>IF(OR(ISBLANK('Change in Means- Data Input'!E87),ISBLANK('Change in Means- Data Input'!F87)),"",'Change in Means- Data Input'!F87-'Change in Means- Data Input'!E87)</f>
        <v>#VALUE!</v>
      </c>
      <c r="D80" s="1" t="e">
        <f>IF(OR(ISBLANK('Change in Means- Data Input'!G87),ISBLANK('Change in Means- Data Input'!H87)),"",'Change in Means- Data Input'!H87-'Change in Means- Data Input'!G87)</f>
        <v>#VALUE!</v>
      </c>
      <c r="E80" s="1" t="e">
        <f>IF(OR(ISBLANK('Change in Means- Data Input'!I87),ISBLANK('Change in Means- Data Input'!J87)),"",'Change in Means- Data Input'!J87-'Change in Means- Data Input'!I87)</f>
        <v>#VALUE!</v>
      </c>
      <c r="F80" s="1" t="e">
        <f>IF(OR(ISBLANK('Change in Means- Data Input'!K87),ISBLANK('Change in Means- Data Input'!L87)),"",'Change in Means- Data Input'!L87-'Change in Means- Data Input'!K87)</f>
        <v>#VALUE!</v>
      </c>
      <c r="G80" s="17" t="e">
        <f>IF(OR(ISBLANK('Change in Means- Data Input'!M87),ISBLANK('Change in Means- Data Input'!N87)),"",'Change in Means- Data Input'!N87-'Change in Means- Data Input'!M87)</f>
        <v>#VALUE!</v>
      </c>
      <c r="H80" s="17" t="e">
        <f>IF(OR(ISBLANK('Change in Means- Data Input'!O87),ISBLANK('Change in Means- Data Input'!P87)),"",'Change in Means- Data Input'!P87-'Change in Means- Data Input'!O87)</f>
        <v>#VALUE!</v>
      </c>
      <c r="I80" s="17" t="e">
        <f>IF(OR(ISBLANK('Change in Means- Data Input'!Q87),ISBLANK('Change in Means- Data Input'!R87)),"",'Change in Means- Data Input'!R87-'Change in Means- Data Input'!Q87)</f>
        <v>#VALUE!</v>
      </c>
      <c r="J80" s="17" t="e">
        <f>IF(OR(ISBLANK('Change in Means- Data Input'!S87),ISBLANK('Change in Means- Data Input'!T87)),"",'Change in Means- Data Input'!T87-'Change in Means- Data Input'!S87)</f>
        <v>#VALUE!</v>
      </c>
      <c r="K80" s="1" t="str">
        <f>IF('Change in Means- Data Input'!A87="NA","NULL",COUNTIF('Change in Means- Data Input'!A87,"&gt;=3")+COUNTIF('Change in Means- Data Input'!C87,"&gt;=3")+COUNTIF('Change in Means- Data Input'!E87,"&gt;=3")+COUNTIF('Change in Means- Data Input'!G87,"&gt;=3")+COUNTIF('Change in Means- Data Input'!I87,"&gt;=3")+COUNTIF('Change in Means- Data Input'!K87,"&gt;=3")+COUNTIF('Change in Means- Data Input'!M87,"&gt;=3")+COUNTIF('Change in Means- Data Input'!O87,"&gt;=3")+COUNTIF('Change in Means- Data Input'!Q87,"&gt;=3")+COUNTIF('Change in Means- Data Input'!S87,"&gt;=3"))</f>
        <v>NULL</v>
      </c>
      <c r="L80" s="1" t="str">
        <f>IF('Change in Means- Data Input'!B87="NA","NULL",COUNTIF('Change in Means- Data Input'!B87,"&gt;=3")+COUNTIF('Change in Means- Data Input'!D87,"&gt;=3")+COUNTIF('Change in Means- Data Input'!F87,"&gt;=3")+COUNTIF('Change in Means- Data Input'!H87,"&gt;=3")+COUNTIF('Change in Means- Data Input'!J87,"&gt;=3")+COUNTIF('Change in Means- Data Input'!L87,"&gt;=3")+COUNTIF('Change in Means- Data Input'!N87,"&gt;=3")+COUNTIF('Change in Means- Data Input'!P87,"&gt;=3")+COUNTIF('Change in Means- Data Input'!R87,"&gt;=3")+COUNTIF('Change in Means- Data Input'!T87,"&gt;=3"))</f>
        <v>NULL</v>
      </c>
      <c r="M80" s="1" t="str">
        <f>IF(Table37[[#This Row],[Pre]]="NULL","NULL",IF(COUNTIF(A80:J80,"&gt;0"),"Yes","No"))</f>
        <v>NULL</v>
      </c>
    </row>
    <row r="81" spans="1:13" x14ac:dyDescent="0.2">
      <c r="A81" s="17" t="e">
        <f>IF(OR(ISBLANK('Change in Means- Data Input'!A88), ISBLANK('Change in Means- Data Input'!B88)),"", 'Change in Means- Data Input'!B88-'Change in Means- Data Input'!A88)</f>
        <v>#VALUE!</v>
      </c>
      <c r="B81" s="1" t="e">
        <f>IF(OR(ISBLANK('Change in Means- Data Input'!C88),ISBLANK('Change in Means- Data Input'!D88)),"",'Change in Means- Data Input'!D88-'Change in Means- Data Input'!C88)</f>
        <v>#VALUE!</v>
      </c>
      <c r="C81" s="1" t="e">
        <f>IF(OR(ISBLANK('Change in Means- Data Input'!E88),ISBLANK('Change in Means- Data Input'!F88)),"",'Change in Means- Data Input'!F88-'Change in Means- Data Input'!E88)</f>
        <v>#VALUE!</v>
      </c>
      <c r="D81" s="1" t="e">
        <f>IF(OR(ISBLANK('Change in Means- Data Input'!G88),ISBLANK('Change in Means- Data Input'!H88)),"",'Change in Means- Data Input'!H88-'Change in Means- Data Input'!G88)</f>
        <v>#VALUE!</v>
      </c>
      <c r="E81" s="1" t="e">
        <f>IF(OR(ISBLANK('Change in Means- Data Input'!I88),ISBLANK('Change in Means- Data Input'!J88)),"",'Change in Means- Data Input'!J88-'Change in Means- Data Input'!I88)</f>
        <v>#VALUE!</v>
      </c>
      <c r="F81" s="1" t="e">
        <f>IF(OR(ISBLANK('Change in Means- Data Input'!K88),ISBLANK('Change in Means- Data Input'!L88)),"",'Change in Means- Data Input'!L88-'Change in Means- Data Input'!K88)</f>
        <v>#VALUE!</v>
      </c>
      <c r="G81" s="17" t="e">
        <f>IF(OR(ISBLANK('Change in Means- Data Input'!M88),ISBLANK('Change in Means- Data Input'!N88)),"",'Change in Means- Data Input'!N88-'Change in Means- Data Input'!M88)</f>
        <v>#VALUE!</v>
      </c>
      <c r="H81" s="17" t="e">
        <f>IF(OR(ISBLANK('Change in Means- Data Input'!O88),ISBLANK('Change in Means- Data Input'!P88)),"",'Change in Means- Data Input'!P88-'Change in Means- Data Input'!O88)</f>
        <v>#VALUE!</v>
      </c>
      <c r="I81" s="17" t="e">
        <f>IF(OR(ISBLANK('Change in Means- Data Input'!Q88),ISBLANK('Change in Means- Data Input'!R88)),"",'Change in Means- Data Input'!R88-'Change in Means- Data Input'!Q88)</f>
        <v>#VALUE!</v>
      </c>
      <c r="J81" s="17" t="e">
        <f>IF(OR(ISBLANK('Change in Means- Data Input'!S88),ISBLANK('Change in Means- Data Input'!T88)),"",'Change in Means- Data Input'!T88-'Change in Means- Data Input'!S88)</f>
        <v>#VALUE!</v>
      </c>
      <c r="K81" s="1" t="str">
        <f>IF('Change in Means- Data Input'!A88="NA","NULL",COUNTIF('Change in Means- Data Input'!A88,"&gt;=3")+COUNTIF('Change in Means- Data Input'!C88,"&gt;=3")+COUNTIF('Change in Means- Data Input'!E88,"&gt;=3")+COUNTIF('Change in Means- Data Input'!G88,"&gt;=3")+COUNTIF('Change in Means- Data Input'!I88,"&gt;=3")+COUNTIF('Change in Means- Data Input'!K88,"&gt;=3")+COUNTIF('Change in Means- Data Input'!M88,"&gt;=3")+COUNTIF('Change in Means- Data Input'!O88,"&gt;=3")+COUNTIF('Change in Means- Data Input'!Q88,"&gt;=3")+COUNTIF('Change in Means- Data Input'!S88,"&gt;=3"))</f>
        <v>NULL</v>
      </c>
      <c r="L81" s="1" t="str">
        <f>IF('Change in Means- Data Input'!B88="NA","NULL",COUNTIF('Change in Means- Data Input'!B88,"&gt;=3")+COUNTIF('Change in Means- Data Input'!D88,"&gt;=3")+COUNTIF('Change in Means- Data Input'!F88,"&gt;=3")+COUNTIF('Change in Means- Data Input'!H88,"&gt;=3")+COUNTIF('Change in Means- Data Input'!J88,"&gt;=3")+COUNTIF('Change in Means- Data Input'!L88,"&gt;=3")+COUNTIF('Change in Means- Data Input'!N88,"&gt;=3")+COUNTIF('Change in Means- Data Input'!P88,"&gt;=3")+COUNTIF('Change in Means- Data Input'!R88,"&gt;=3")+COUNTIF('Change in Means- Data Input'!T88,"&gt;=3"))</f>
        <v>NULL</v>
      </c>
      <c r="M81" s="1" t="str">
        <f>IF(Table37[[#This Row],[Pre]]="NULL","NULL",IF(COUNTIF(A81:J81,"&gt;0"),"Yes","No"))</f>
        <v>NULL</v>
      </c>
    </row>
    <row r="82" spans="1:13" x14ac:dyDescent="0.2">
      <c r="A82" s="17" t="e">
        <f>IF(OR(ISBLANK('Change in Means- Data Input'!A89), ISBLANK('Change in Means- Data Input'!B89)),"", 'Change in Means- Data Input'!B89-'Change in Means- Data Input'!A89)</f>
        <v>#VALUE!</v>
      </c>
      <c r="B82" s="1" t="e">
        <f>IF(OR(ISBLANK('Change in Means- Data Input'!C89),ISBLANK('Change in Means- Data Input'!D89)),"",'Change in Means- Data Input'!D89-'Change in Means- Data Input'!C89)</f>
        <v>#VALUE!</v>
      </c>
      <c r="C82" s="1" t="e">
        <f>IF(OR(ISBLANK('Change in Means- Data Input'!E89),ISBLANK('Change in Means- Data Input'!F89)),"",'Change in Means- Data Input'!F89-'Change in Means- Data Input'!E89)</f>
        <v>#VALUE!</v>
      </c>
      <c r="D82" s="1" t="e">
        <f>IF(OR(ISBLANK('Change in Means- Data Input'!G89),ISBLANK('Change in Means- Data Input'!H89)),"",'Change in Means- Data Input'!H89-'Change in Means- Data Input'!G89)</f>
        <v>#VALUE!</v>
      </c>
      <c r="E82" s="1" t="e">
        <f>IF(OR(ISBLANK('Change in Means- Data Input'!I89),ISBLANK('Change in Means- Data Input'!J89)),"",'Change in Means- Data Input'!J89-'Change in Means- Data Input'!I89)</f>
        <v>#VALUE!</v>
      </c>
      <c r="F82" s="1" t="e">
        <f>IF(OR(ISBLANK('Change in Means- Data Input'!K89),ISBLANK('Change in Means- Data Input'!L89)),"",'Change in Means- Data Input'!L89-'Change in Means- Data Input'!K89)</f>
        <v>#VALUE!</v>
      </c>
      <c r="G82" s="17" t="e">
        <f>IF(OR(ISBLANK('Change in Means- Data Input'!M89),ISBLANK('Change in Means- Data Input'!N89)),"",'Change in Means- Data Input'!N89-'Change in Means- Data Input'!M89)</f>
        <v>#VALUE!</v>
      </c>
      <c r="H82" s="17" t="e">
        <f>IF(OR(ISBLANK('Change in Means- Data Input'!O89),ISBLANK('Change in Means- Data Input'!P89)),"",'Change in Means- Data Input'!P89-'Change in Means- Data Input'!O89)</f>
        <v>#VALUE!</v>
      </c>
      <c r="I82" s="17" t="e">
        <f>IF(OR(ISBLANK('Change in Means- Data Input'!Q89),ISBLANK('Change in Means- Data Input'!R89)),"",'Change in Means- Data Input'!R89-'Change in Means- Data Input'!Q89)</f>
        <v>#VALUE!</v>
      </c>
      <c r="J82" s="17" t="e">
        <f>IF(OR(ISBLANK('Change in Means- Data Input'!S89),ISBLANK('Change in Means- Data Input'!T89)),"",'Change in Means- Data Input'!T89-'Change in Means- Data Input'!S89)</f>
        <v>#VALUE!</v>
      </c>
      <c r="K82" s="1" t="str">
        <f>IF('Change in Means- Data Input'!A89="NA","NULL",COUNTIF('Change in Means- Data Input'!A89,"&gt;=3")+COUNTIF('Change in Means- Data Input'!C89,"&gt;=3")+COUNTIF('Change in Means- Data Input'!E89,"&gt;=3")+COUNTIF('Change in Means- Data Input'!G89,"&gt;=3")+COUNTIF('Change in Means- Data Input'!I89,"&gt;=3")+COUNTIF('Change in Means- Data Input'!K89,"&gt;=3")+COUNTIF('Change in Means- Data Input'!M89,"&gt;=3")+COUNTIF('Change in Means- Data Input'!O89,"&gt;=3")+COUNTIF('Change in Means- Data Input'!Q89,"&gt;=3")+COUNTIF('Change in Means- Data Input'!S89,"&gt;=3"))</f>
        <v>NULL</v>
      </c>
      <c r="L82" s="1" t="str">
        <f>IF('Change in Means- Data Input'!B89="NA","NULL",COUNTIF('Change in Means- Data Input'!B89,"&gt;=3")+COUNTIF('Change in Means- Data Input'!D89,"&gt;=3")+COUNTIF('Change in Means- Data Input'!F89,"&gt;=3")+COUNTIF('Change in Means- Data Input'!H89,"&gt;=3")+COUNTIF('Change in Means- Data Input'!J89,"&gt;=3")+COUNTIF('Change in Means- Data Input'!L89,"&gt;=3")+COUNTIF('Change in Means- Data Input'!N89,"&gt;=3")+COUNTIF('Change in Means- Data Input'!P89,"&gt;=3")+COUNTIF('Change in Means- Data Input'!R89,"&gt;=3")+COUNTIF('Change in Means- Data Input'!T89,"&gt;=3"))</f>
        <v>NULL</v>
      </c>
      <c r="M82" s="1" t="str">
        <f>IF(Table37[[#This Row],[Pre]]="NULL","NULL",IF(COUNTIF(A82:J82,"&gt;0"),"Yes","No"))</f>
        <v>NULL</v>
      </c>
    </row>
    <row r="83" spans="1:13" x14ac:dyDescent="0.2">
      <c r="A83" s="17" t="e">
        <f>IF(OR(ISBLANK('Change in Means- Data Input'!A90), ISBLANK('Change in Means- Data Input'!B90)),"", 'Change in Means- Data Input'!B90-'Change in Means- Data Input'!A90)</f>
        <v>#VALUE!</v>
      </c>
      <c r="B83" s="1" t="e">
        <f>IF(OR(ISBLANK('Change in Means- Data Input'!C90),ISBLANK('Change in Means- Data Input'!D90)),"",'Change in Means- Data Input'!D90-'Change in Means- Data Input'!C90)</f>
        <v>#VALUE!</v>
      </c>
      <c r="C83" s="1" t="e">
        <f>IF(OR(ISBLANK('Change in Means- Data Input'!E90),ISBLANK('Change in Means- Data Input'!F90)),"",'Change in Means- Data Input'!F90-'Change in Means- Data Input'!E90)</f>
        <v>#VALUE!</v>
      </c>
      <c r="D83" s="1" t="e">
        <f>IF(OR(ISBLANK('Change in Means- Data Input'!G90),ISBLANK('Change in Means- Data Input'!H90)),"",'Change in Means- Data Input'!H90-'Change in Means- Data Input'!G90)</f>
        <v>#VALUE!</v>
      </c>
      <c r="E83" s="1" t="e">
        <f>IF(OR(ISBLANK('Change in Means- Data Input'!I90),ISBLANK('Change in Means- Data Input'!J90)),"",'Change in Means- Data Input'!J90-'Change in Means- Data Input'!I90)</f>
        <v>#VALUE!</v>
      </c>
      <c r="F83" s="1" t="e">
        <f>IF(OR(ISBLANK('Change in Means- Data Input'!K90),ISBLANK('Change in Means- Data Input'!L90)),"",'Change in Means- Data Input'!L90-'Change in Means- Data Input'!K90)</f>
        <v>#VALUE!</v>
      </c>
      <c r="G83" s="17" t="e">
        <f>IF(OR(ISBLANK('Change in Means- Data Input'!M90),ISBLANK('Change in Means- Data Input'!N90)),"",'Change in Means- Data Input'!N90-'Change in Means- Data Input'!M90)</f>
        <v>#VALUE!</v>
      </c>
      <c r="H83" s="17" t="e">
        <f>IF(OR(ISBLANK('Change in Means- Data Input'!O90),ISBLANK('Change in Means- Data Input'!P90)),"",'Change in Means- Data Input'!P90-'Change in Means- Data Input'!O90)</f>
        <v>#VALUE!</v>
      </c>
      <c r="I83" s="17" t="e">
        <f>IF(OR(ISBLANK('Change in Means- Data Input'!Q90),ISBLANK('Change in Means- Data Input'!R90)),"",'Change in Means- Data Input'!R90-'Change in Means- Data Input'!Q90)</f>
        <v>#VALUE!</v>
      </c>
      <c r="J83" s="17" t="e">
        <f>IF(OR(ISBLANK('Change in Means- Data Input'!S90),ISBLANK('Change in Means- Data Input'!T90)),"",'Change in Means- Data Input'!T90-'Change in Means- Data Input'!S90)</f>
        <v>#VALUE!</v>
      </c>
      <c r="K83" s="1" t="str">
        <f>IF('Change in Means- Data Input'!A90="NA","NULL",COUNTIF('Change in Means- Data Input'!A90,"&gt;=3")+COUNTIF('Change in Means- Data Input'!C90,"&gt;=3")+COUNTIF('Change in Means- Data Input'!E90,"&gt;=3")+COUNTIF('Change in Means- Data Input'!G90,"&gt;=3")+COUNTIF('Change in Means- Data Input'!I90,"&gt;=3")+COUNTIF('Change in Means- Data Input'!K90,"&gt;=3")+COUNTIF('Change in Means- Data Input'!M90,"&gt;=3")+COUNTIF('Change in Means- Data Input'!O90,"&gt;=3")+COUNTIF('Change in Means- Data Input'!Q90,"&gt;=3")+COUNTIF('Change in Means- Data Input'!S90,"&gt;=3"))</f>
        <v>NULL</v>
      </c>
      <c r="L83" s="1" t="str">
        <f>IF('Change in Means- Data Input'!B90="NA","NULL",COUNTIF('Change in Means- Data Input'!B90,"&gt;=3")+COUNTIF('Change in Means- Data Input'!D90,"&gt;=3")+COUNTIF('Change in Means- Data Input'!F90,"&gt;=3")+COUNTIF('Change in Means- Data Input'!H90,"&gt;=3")+COUNTIF('Change in Means- Data Input'!J90,"&gt;=3")+COUNTIF('Change in Means- Data Input'!L90,"&gt;=3")+COUNTIF('Change in Means- Data Input'!N90,"&gt;=3")+COUNTIF('Change in Means- Data Input'!P90,"&gt;=3")+COUNTIF('Change in Means- Data Input'!R90,"&gt;=3")+COUNTIF('Change in Means- Data Input'!T90,"&gt;=3"))</f>
        <v>NULL</v>
      </c>
      <c r="M83" s="1" t="str">
        <f>IF(Table37[[#This Row],[Pre]]="NULL","NULL",IF(COUNTIF(A83:J83,"&gt;0"),"Yes","No"))</f>
        <v>NULL</v>
      </c>
    </row>
    <row r="84" spans="1:13" x14ac:dyDescent="0.2">
      <c r="A84" s="17" t="e">
        <f>IF(OR(ISBLANK('Change in Means- Data Input'!A91), ISBLANK('Change in Means- Data Input'!B91)),"", 'Change in Means- Data Input'!B91-'Change in Means- Data Input'!A91)</f>
        <v>#VALUE!</v>
      </c>
      <c r="B84" s="1" t="e">
        <f>IF(OR(ISBLANK('Change in Means- Data Input'!C91),ISBLANK('Change in Means- Data Input'!D91)),"",'Change in Means- Data Input'!D91-'Change in Means- Data Input'!C91)</f>
        <v>#VALUE!</v>
      </c>
      <c r="C84" s="1" t="e">
        <f>IF(OR(ISBLANK('Change in Means- Data Input'!E91),ISBLANK('Change in Means- Data Input'!F91)),"",'Change in Means- Data Input'!F91-'Change in Means- Data Input'!E91)</f>
        <v>#VALUE!</v>
      </c>
      <c r="D84" s="1" t="e">
        <f>IF(OR(ISBLANK('Change in Means- Data Input'!G91),ISBLANK('Change in Means- Data Input'!H91)),"",'Change in Means- Data Input'!H91-'Change in Means- Data Input'!G91)</f>
        <v>#VALUE!</v>
      </c>
      <c r="E84" s="1" t="e">
        <f>IF(OR(ISBLANK('Change in Means- Data Input'!I91),ISBLANK('Change in Means- Data Input'!J91)),"",'Change in Means- Data Input'!J91-'Change in Means- Data Input'!I91)</f>
        <v>#VALUE!</v>
      </c>
      <c r="F84" s="1" t="e">
        <f>IF(OR(ISBLANK('Change in Means- Data Input'!K91),ISBLANK('Change in Means- Data Input'!L91)),"",'Change in Means- Data Input'!L91-'Change in Means- Data Input'!K91)</f>
        <v>#VALUE!</v>
      </c>
      <c r="G84" s="17" t="e">
        <f>IF(OR(ISBLANK('Change in Means- Data Input'!M91),ISBLANK('Change in Means- Data Input'!N91)),"",'Change in Means- Data Input'!N91-'Change in Means- Data Input'!M91)</f>
        <v>#VALUE!</v>
      </c>
      <c r="H84" s="17" t="e">
        <f>IF(OR(ISBLANK('Change in Means- Data Input'!O91),ISBLANK('Change in Means- Data Input'!P91)),"",'Change in Means- Data Input'!P91-'Change in Means- Data Input'!O91)</f>
        <v>#VALUE!</v>
      </c>
      <c r="I84" s="17" t="e">
        <f>IF(OR(ISBLANK('Change in Means- Data Input'!Q91),ISBLANK('Change in Means- Data Input'!R91)),"",'Change in Means- Data Input'!R91-'Change in Means- Data Input'!Q91)</f>
        <v>#VALUE!</v>
      </c>
      <c r="J84" s="17" t="e">
        <f>IF(OR(ISBLANK('Change in Means- Data Input'!S91),ISBLANK('Change in Means- Data Input'!T91)),"",'Change in Means- Data Input'!T91-'Change in Means- Data Input'!S91)</f>
        <v>#VALUE!</v>
      </c>
      <c r="K84" s="1" t="str">
        <f>IF('Change in Means- Data Input'!A91="NA","NULL",COUNTIF('Change in Means- Data Input'!A91,"&gt;=3")+COUNTIF('Change in Means- Data Input'!C91,"&gt;=3")+COUNTIF('Change in Means- Data Input'!E91,"&gt;=3")+COUNTIF('Change in Means- Data Input'!G91,"&gt;=3")+COUNTIF('Change in Means- Data Input'!I91,"&gt;=3")+COUNTIF('Change in Means- Data Input'!K91,"&gt;=3")+COUNTIF('Change in Means- Data Input'!M91,"&gt;=3")+COUNTIF('Change in Means- Data Input'!O91,"&gt;=3")+COUNTIF('Change in Means- Data Input'!Q91,"&gt;=3")+COUNTIF('Change in Means- Data Input'!S91,"&gt;=3"))</f>
        <v>NULL</v>
      </c>
      <c r="L84" s="1" t="str">
        <f>IF('Change in Means- Data Input'!B91="NA","NULL",COUNTIF('Change in Means- Data Input'!B91,"&gt;=3")+COUNTIF('Change in Means- Data Input'!D91,"&gt;=3")+COUNTIF('Change in Means- Data Input'!F91,"&gt;=3")+COUNTIF('Change in Means- Data Input'!H91,"&gt;=3")+COUNTIF('Change in Means- Data Input'!J91,"&gt;=3")+COUNTIF('Change in Means- Data Input'!L91,"&gt;=3")+COUNTIF('Change in Means- Data Input'!N91,"&gt;=3")+COUNTIF('Change in Means- Data Input'!P91,"&gt;=3")+COUNTIF('Change in Means- Data Input'!R91,"&gt;=3")+COUNTIF('Change in Means- Data Input'!T91,"&gt;=3"))</f>
        <v>NULL</v>
      </c>
      <c r="M84" s="1" t="str">
        <f>IF(Table37[[#This Row],[Pre]]="NULL","NULL",IF(COUNTIF(A84:J84,"&gt;0"),"Yes","No"))</f>
        <v>NULL</v>
      </c>
    </row>
    <row r="85" spans="1:13" x14ac:dyDescent="0.2">
      <c r="A85" s="17" t="e">
        <f>IF(OR(ISBLANK('Change in Means- Data Input'!A92), ISBLANK('Change in Means- Data Input'!B92)),"", 'Change in Means- Data Input'!B92-'Change in Means- Data Input'!A92)</f>
        <v>#VALUE!</v>
      </c>
      <c r="B85" s="1" t="e">
        <f>IF(OR(ISBLANK('Change in Means- Data Input'!C92),ISBLANK('Change in Means- Data Input'!D92)),"",'Change in Means- Data Input'!D92-'Change in Means- Data Input'!C92)</f>
        <v>#VALUE!</v>
      </c>
      <c r="C85" s="1" t="e">
        <f>IF(OR(ISBLANK('Change in Means- Data Input'!E92),ISBLANK('Change in Means- Data Input'!F92)),"",'Change in Means- Data Input'!F92-'Change in Means- Data Input'!E92)</f>
        <v>#VALUE!</v>
      </c>
      <c r="D85" s="1" t="e">
        <f>IF(OR(ISBLANK('Change in Means- Data Input'!G92),ISBLANK('Change in Means- Data Input'!H92)),"",'Change in Means- Data Input'!H92-'Change in Means- Data Input'!G92)</f>
        <v>#VALUE!</v>
      </c>
      <c r="E85" s="1" t="e">
        <f>IF(OR(ISBLANK('Change in Means- Data Input'!I92),ISBLANK('Change in Means- Data Input'!J92)),"",'Change in Means- Data Input'!J92-'Change in Means- Data Input'!I92)</f>
        <v>#VALUE!</v>
      </c>
      <c r="F85" s="1" t="e">
        <f>IF(OR(ISBLANK('Change in Means- Data Input'!K92),ISBLANK('Change in Means- Data Input'!L92)),"",'Change in Means- Data Input'!L92-'Change in Means- Data Input'!K92)</f>
        <v>#VALUE!</v>
      </c>
      <c r="G85" s="17" t="e">
        <f>IF(OR(ISBLANK('Change in Means- Data Input'!M92),ISBLANK('Change in Means- Data Input'!N92)),"",'Change in Means- Data Input'!N92-'Change in Means- Data Input'!M92)</f>
        <v>#VALUE!</v>
      </c>
      <c r="H85" s="17" t="e">
        <f>IF(OR(ISBLANK('Change in Means- Data Input'!O92),ISBLANK('Change in Means- Data Input'!P92)),"",'Change in Means- Data Input'!P92-'Change in Means- Data Input'!O92)</f>
        <v>#VALUE!</v>
      </c>
      <c r="I85" s="17" t="e">
        <f>IF(OR(ISBLANK('Change in Means- Data Input'!Q92),ISBLANK('Change in Means- Data Input'!R92)),"",'Change in Means- Data Input'!R92-'Change in Means- Data Input'!Q92)</f>
        <v>#VALUE!</v>
      </c>
      <c r="J85" s="17" t="e">
        <f>IF(OR(ISBLANK('Change in Means- Data Input'!S92),ISBLANK('Change in Means- Data Input'!T92)),"",'Change in Means- Data Input'!T92-'Change in Means- Data Input'!S92)</f>
        <v>#VALUE!</v>
      </c>
      <c r="K85" s="1" t="str">
        <f>IF('Change in Means- Data Input'!A92="NA","NULL",COUNTIF('Change in Means- Data Input'!A92,"&gt;=3")+COUNTIF('Change in Means- Data Input'!C92,"&gt;=3")+COUNTIF('Change in Means- Data Input'!E92,"&gt;=3")+COUNTIF('Change in Means- Data Input'!G92,"&gt;=3")+COUNTIF('Change in Means- Data Input'!I92,"&gt;=3")+COUNTIF('Change in Means- Data Input'!K92,"&gt;=3")+COUNTIF('Change in Means- Data Input'!M92,"&gt;=3")+COUNTIF('Change in Means- Data Input'!O92,"&gt;=3")+COUNTIF('Change in Means- Data Input'!Q92,"&gt;=3")+COUNTIF('Change in Means- Data Input'!S92,"&gt;=3"))</f>
        <v>NULL</v>
      </c>
      <c r="L85" s="1" t="str">
        <f>IF('Change in Means- Data Input'!B92="NA","NULL",COUNTIF('Change in Means- Data Input'!B92,"&gt;=3")+COUNTIF('Change in Means- Data Input'!D92,"&gt;=3")+COUNTIF('Change in Means- Data Input'!F92,"&gt;=3")+COUNTIF('Change in Means- Data Input'!H92,"&gt;=3")+COUNTIF('Change in Means- Data Input'!J92,"&gt;=3")+COUNTIF('Change in Means- Data Input'!L92,"&gt;=3")+COUNTIF('Change in Means- Data Input'!N92,"&gt;=3")+COUNTIF('Change in Means- Data Input'!P92,"&gt;=3")+COUNTIF('Change in Means- Data Input'!R92,"&gt;=3")+COUNTIF('Change in Means- Data Input'!T92,"&gt;=3"))</f>
        <v>NULL</v>
      </c>
      <c r="M85" s="1" t="str">
        <f>IF(Table37[[#This Row],[Pre]]="NULL","NULL",IF(COUNTIF(A85:J85,"&gt;0"),"Yes","No"))</f>
        <v>NULL</v>
      </c>
    </row>
    <row r="86" spans="1:13" x14ac:dyDescent="0.2">
      <c r="A86" s="17" t="e">
        <f>IF(OR(ISBLANK('Change in Means- Data Input'!A93), ISBLANK('Change in Means- Data Input'!B93)),"", 'Change in Means- Data Input'!B93-'Change in Means- Data Input'!A93)</f>
        <v>#VALUE!</v>
      </c>
      <c r="B86" s="1" t="e">
        <f>IF(OR(ISBLANK('Change in Means- Data Input'!C93),ISBLANK('Change in Means- Data Input'!D93)),"",'Change in Means- Data Input'!D93-'Change in Means- Data Input'!C93)</f>
        <v>#VALUE!</v>
      </c>
      <c r="C86" s="1" t="e">
        <f>IF(OR(ISBLANK('Change in Means- Data Input'!E93),ISBLANK('Change in Means- Data Input'!F93)),"",'Change in Means- Data Input'!F93-'Change in Means- Data Input'!E93)</f>
        <v>#VALUE!</v>
      </c>
      <c r="D86" s="1" t="e">
        <f>IF(OR(ISBLANK('Change in Means- Data Input'!G93),ISBLANK('Change in Means- Data Input'!H93)),"",'Change in Means- Data Input'!H93-'Change in Means- Data Input'!G93)</f>
        <v>#VALUE!</v>
      </c>
      <c r="E86" s="1" t="e">
        <f>IF(OR(ISBLANK('Change in Means- Data Input'!I93),ISBLANK('Change in Means- Data Input'!J93)),"",'Change in Means- Data Input'!J93-'Change in Means- Data Input'!I93)</f>
        <v>#VALUE!</v>
      </c>
      <c r="F86" s="1" t="e">
        <f>IF(OR(ISBLANK('Change in Means- Data Input'!K93),ISBLANK('Change in Means- Data Input'!L93)),"",'Change in Means- Data Input'!L93-'Change in Means- Data Input'!K93)</f>
        <v>#VALUE!</v>
      </c>
      <c r="G86" s="17" t="e">
        <f>IF(OR(ISBLANK('Change in Means- Data Input'!M93),ISBLANK('Change in Means- Data Input'!N93)),"",'Change in Means- Data Input'!N93-'Change in Means- Data Input'!M93)</f>
        <v>#VALUE!</v>
      </c>
      <c r="H86" s="17" t="e">
        <f>IF(OR(ISBLANK('Change in Means- Data Input'!O93),ISBLANK('Change in Means- Data Input'!P93)),"",'Change in Means- Data Input'!P93-'Change in Means- Data Input'!O93)</f>
        <v>#VALUE!</v>
      </c>
      <c r="I86" s="17" t="e">
        <f>IF(OR(ISBLANK('Change in Means- Data Input'!Q93),ISBLANK('Change in Means- Data Input'!R93)),"",'Change in Means- Data Input'!R93-'Change in Means- Data Input'!Q93)</f>
        <v>#VALUE!</v>
      </c>
      <c r="J86" s="17" t="e">
        <f>IF(OR(ISBLANK('Change in Means- Data Input'!S93),ISBLANK('Change in Means- Data Input'!T93)),"",'Change in Means- Data Input'!T93-'Change in Means- Data Input'!S93)</f>
        <v>#VALUE!</v>
      </c>
      <c r="K86" s="1" t="str">
        <f>IF('Change in Means- Data Input'!A93="NA","NULL",COUNTIF('Change in Means- Data Input'!A93,"&gt;=3")+COUNTIF('Change in Means- Data Input'!C93,"&gt;=3")+COUNTIF('Change in Means- Data Input'!E93,"&gt;=3")+COUNTIF('Change in Means- Data Input'!G93,"&gt;=3")+COUNTIF('Change in Means- Data Input'!I93,"&gt;=3")+COUNTIF('Change in Means- Data Input'!K93,"&gt;=3")+COUNTIF('Change in Means- Data Input'!M93,"&gt;=3")+COUNTIF('Change in Means- Data Input'!O93,"&gt;=3")+COUNTIF('Change in Means- Data Input'!Q93,"&gt;=3")+COUNTIF('Change in Means- Data Input'!S93,"&gt;=3"))</f>
        <v>NULL</v>
      </c>
      <c r="L86" s="1" t="str">
        <f>IF('Change in Means- Data Input'!B93="NA","NULL",COUNTIF('Change in Means- Data Input'!B93,"&gt;=3")+COUNTIF('Change in Means- Data Input'!D93,"&gt;=3")+COUNTIF('Change in Means- Data Input'!F93,"&gt;=3")+COUNTIF('Change in Means- Data Input'!H93,"&gt;=3")+COUNTIF('Change in Means- Data Input'!J93,"&gt;=3")+COUNTIF('Change in Means- Data Input'!L93,"&gt;=3")+COUNTIF('Change in Means- Data Input'!N93,"&gt;=3")+COUNTIF('Change in Means- Data Input'!P93,"&gt;=3")+COUNTIF('Change in Means- Data Input'!R93,"&gt;=3")+COUNTIF('Change in Means- Data Input'!T93,"&gt;=3"))</f>
        <v>NULL</v>
      </c>
      <c r="M86" s="1" t="str">
        <f>IF(Table37[[#This Row],[Pre]]="NULL","NULL",IF(COUNTIF(A86:J86,"&gt;0"),"Yes","No"))</f>
        <v>NULL</v>
      </c>
    </row>
    <row r="87" spans="1:13" x14ac:dyDescent="0.2">
      <c r="A87" s="17" t="e">
        <f>IF(OR(ISBLANK('Change in Means- Data Input'!A94), ISBLANK('Change in Means- Data Input'!B94)),"", 'Change in Means- Data Input'!B94-'Change in Means- Data Input'!A94)</f>
        <v>#VALUE!</v>
      </c>
      <c r="B87" s="1" t="e">
        <f>IF(OR(ISBLANK('Change in Means- Data Input'!C94),ISBLANK('Change in Means- Data Input'!D94)),"",'Change in Means- Data Input'!D94-'Change in Means- Data Input'!C94)</f>
        <v>#VALUE!</v>
      </c>
      <c r="C87" s="1" t="e">
        <f>IF(OR(ISBLANK('Change in Means- Data Input'!E94),ISBLANK('Change in Means- Data Input'!F94)),"",'Change in Means- Data Input'!F94-'Change in Means- Data Input'!E94)</f>
        <v>#VALUE!</v>
      </c>
      <c r="D87" s="1" t="e">
        <f>IF(OR(ISBLANK('Change in Means- Data Input'!G94),ISBLANK('Change in Means- Data Input'!H94)),"",'Change in Means- Data Input'!H94-'Change in Means- Data Input'!G94)</f>
        <v>#VALUE!</v>
      </c>
      <c r="E87" s="1" t="e">
        <f>IF(OR(ISBLANK('Change in Means- Data Input'!I94),ISBLANK('Change in Means- Data Input'!J94)),"",'Change in Means- Data Input'!J94-'Change in Means- Data Input'!I94)</f>
        <v>#VALUE!</v>
      </c>
      <c r="F87" s="1" t="e">
        <f>IF(OR(ISBLANK('Change in Means- Data Input'!K94),ISBLANK('Change in Means- Data Input'!L94)),"",'Change in Means- Data Input'!L94-'Change in Means- Data Input'!K94)</f>
        <v>#VALUE!</v>
      </c>
      <c r="G87" s="17" t="e">
        <f>IF(OR(ISBLANK('Change in Means- Data Input'!M94),ISBLANK('Change in Means- Data Input'!N94)),"",'Change in Means- Data Input'!N94-'Change in Means- Data Input'!M94)</f>
        <v>#VALUE!</v>
      </c>
      <c r="H87" s="17" t="e">
        <f>IF(OR(ISBLANK('Change in Means- Data Input'!O94),ISBLANK('Change in Means- Data Input'!P94)),"",'Change in Means- Data Input'!P94-'Change in Means- Data Input'!O94)</f>
        <v>#VALUE!</v>
      </c>
      <c r="I87" s="17" t="e">
        <f>IF(OR(ISBLANK('Change in Means- Data Input'!Q94),ISBLANK('Change in Means- Data Input'!R94)),"",'Change in Means- Data Input'!R94-'Change in Means- Data Input'!Q94)</f>
        <v>#VALUE!</v>
      </c>
      <c r="J87" s="17" t="e">
        <f>IF(OR(ISBLANK('Change in Means- Data Input'!S94),ISBLANK('Change in Means- Data Input'!T94)),"",'Change in Means- Data Input'!T94-'Change in Means- Data Input'!S94)</f>
        <v>#VALUE!</v>
      </c>
      <c r="K87" s="1" t="str">
        <f>IF('Change in Means- Data Input'!A94="NA","NULL",COUNTIF('Change in Means- Data Input'!A94,"&gt;=3")+COUNTIF('Change in Means- Data Input'!C94,"&gt;=3")+COUNTIF('Change in Means- Data Input'!E94,"&gt;=3")+COUNTIF('Change in Means- Data Input'!G94,"&gt;=3")+COUNTIF('Change in Means- Data Input'!I94,"&gt;=3")+COUNTIF('Change in Means- Data Input'!K94,"&gt;=3")+COUNTIF('Change in Means- Data Input'!M94,"&gt;=3")+COUNTIF('Change in Means- Data Input'!O94,"&gt;=3")+COUNTIF('Change in Means- Data Input'!Q94,"&gt;=3")+COUNTIF('Change in Means- Data Input'!S94,"&gt;=3"))</f>
        <v>NULL</v>
      </c>
      <c r="L87" s="1" t="str">
        <f>IF('Change in Means- Data Input'!B94="NA","NULL",COUNTIF('Change in Means- Data Input'!B94,"&gt;=3")+COUNTIF('Change in Means- Data Input'!D94,"&gt;=3")+COUNTIF('Change in Means- Data Input'!F94,"&gt;=3")+COUNTIF('Change in Means- Data Input'!H94,"&gt;=3")+COUNTIF('Change in Means- Data Input'!J94,"&gt;=3")+COUNTIF('Change in Means- Data Input'!L94,"&gt;=3")+COUNTIF('Change in Means- Data Input'!N94,"&gt;=3")+COUNTIF('Change in Means- Data Input'!P94,"&gt;=3")+COUNTIF('Change in Means- Data Input'!R94,"&gt;=3")+COUNTIF('Change in Means- Data Input'!T94,"&gt;=3"))</f>
        <v>NULL</v>
      </c>
      <c r="M87" s="1" t="str">
        <f>IF(Table37[[#This Row],[Pre]]="NULL","NULL",IF(COUNTIF(A87:J87,"&gt;0"),"Yes","No"))</f>
        <v>NULL</v>
      </c>
    </row>
    <row r="88" spans="1:13" x14ac:dyDescent="0.2">
      <c r="A88" s="17" t="e">
        <f>IF(OR(ISBLANK('Change in Means- Data Input'!A95), ISBLANK('Change in Means- Data Input'!B95)),"", 'Change in Means- Data Input'!B95-'Change in Means- Data Input'!A95)</f>
        <v>#VALUE!</v>
      </c>
      <c r="B88" s="1" t="e">
        <f>IF(OR(ISBLANK('Change in Means- Data Input'!C95),ISBLANK('Change in Means- Data Input'!D95)),"",'Change in Means- Data Input'!D95-'Change in Means- Data Input'!C95)</f>
        <v>#VALUE!</v>
      </c>
      <c r="C88" s="1" t="e">
        <f>IF(OR(ISBLANK('Change in Means- Data Input'!E95),ISBLANK('Change in Means- Data Input'!F95)),"",'Change in Means- Data Input'!F95-'Change in Means- Data Input'!E95)</f>
        <v>#VALUE!</v>
      </c>
      <c r="D88" s="1" t="e">
        <f>IF(OR(ISBLANK('Change in Means- Data Input'!G95),ISBLANK('Change in Means- Data Input'!H95)),"",'Change in Means- Data Input'!H95-'Change in Means- Data Input'!G95)</f>
        <v>#VALUE!</v>
      </c>
      <c r="E88" s="1" t="e">
        <f>IF(OR(ISBLANK('Change in Means- Data Input'!I95),ISBLANK('Change in Means- Data Input'!J95)),"",'Change in Means- Data Input'!J95-'Change in Means- Data Input'!I95)</f>
        <v>#VALUE!</v>
      </c>
      <c r="F88" s="1" t="e">
        <f>IF(OR(ISBLANK('Change in Means- Data Input'!K95),ISBLANK('Change in Means- Data Input'!L95)),"",'Change in Means- Data Input'!L95-'Change in Means- Data Input'!K95)</f>
        <v>#VALUE!</v>
      </c>
      <c r="G88" s="17" t="e">
        <f>IF(OR(ISBLANK('Change in Means- Data Input'!M95),ISBLANK('Change in Means- Data Input'!N95)),"",'Change in Means- Data Input'!N95-'Change in Means- Data Input'!M95)</f>
        <v>#VALUE!</v>
      </c>
      <c r="H88" s="17" t="e">
        <f>IF(OR(ISBLANK('Change in Means- Data Input'!O95),ISBLANK('Change in Means- Data Input'!P95)),"",'Change in Means- Data Input'!P95-'Change in Means- Data Input'!O95)</f>
        <v>#VALUE!</v>
      </c>
      <c r="I88" s="17" t="e">
        <f>IF(OR(ISBLANK('Change in Means- Data Input'!Q95),ISBLANK('Change in Means- Data Input'!R95)),"",'Change in Means- Data Input'!R95-'Change in Means- Data Input'!Q95)</f>
        <v>#VALUE!</v>
      </c>
      <c r="J88" s="17" t="e">
        <f>IF(OR(ISBLANK('Change in Means- Data Input'!S95),ISBLANK('Change in Means- Data Input'!T95)),"",'Change in Means- Data Input'!T95-'Change in Means- Data Input'!S95)</f>
        <v>#VALUE!</v>
      </c>
      <c r="K88" s="1" t="str">
        <f>IF('Change in Means- Data Input'!A95="NA","NULL",COUNTIF('Change in Means- Data Input'!A95,"&gt;=3")+COUNTIF('Change in Means- Data Input'!C95,"&gt;=3")+COUNTIF('Change in Means- Data Input'!E95,"&gt;=3")+COUNTIF('Change in Means- Data Input'!G95,"&gt;=3")+COUNTIF('Change in Means- Data Input'!I95,"&gt;=3")+COUNTIF('Change in Means- Data Input'!K95,"&gt;=3")+COUNTIF('Change in Means- Data Input'!M95,"&gt;=3")+COUNTIF('Change in Means- Data Input'!O95,"&gt;=3")+COUNTIF('Change in Means- Data Input'!Q95,"&gt;=3")+COUNTIF('Change in Means- Data Input'!S95,"&gt;=3"))</f>
        <v>NULL</v>
      </c>
      <c r="L88" s="1" t="str">
        <f>IF('Change in Means- Data Input'!B95="NA","NULL",COUNTIF('Change in Means- Data Input'!B95,"&gt;=3")+COUNTIF('Change in Means- Data Input'!D95,"&gt;=3")+COUNTIF('Change in Means- Data Input'!F95,"&gt;=3")+COUNTIF('Change in Means- Data Input'!H95,"&gt;=3")+COUNTIF('Change in Means- Data Input'!J95,"&gt;=3")+COUNTIF('Change in Means- Data Input'!L95,"&gt;=3")+COUNTIF('Change in Means- Data Input'!N95,"&gt;=3")+COUNTIF('Change in Means- Data Input'!P95,"&gt;=3")+COUNTIF('Change in Means- Data Input'!R95,"&gt;=3")+COUNTIF('Change in Means- Data Input'!T95,"&gt;=3"))</f>
        <v>NULL</v>
      </c>
      <c r="M88" s="1" t="str">
        <f>IF(Table37[[#This Row],[Pre]]="NULL","NULL",IF(COUNTIF(A88:J88,"&gt;0"),"Yes","No"))</f>
        <v>NULL</v>
      </c>
    </row>
    <row r="89" spans="1:13" x14ac:dyDescent="0.2">
      <c r="A89" s="17" t="e">
        <f>IF(OR(ISBLANK('Change in Means- Data Input'!A96), ISBLANK('Change in Means- Data Input'!B96)),"", 'Change in Means- Data Input'!B96-'Change in Means- Data Input'!A96)</f>
        <v>#VALUE!</v>
      </c>
      <c r="B89" s="1" t="e">
        <f>IF(OR(ISBLANK('Change in Means- Data Input'!C96),ISBLANK('Change in Means- Data Input'!D96)),"",'Change in Means- Data Input'!D96-'Change in Means- Data Input'!C96)</f>
        <v>#VALUE!</v>
      </c>
      <c r="C89" s="1" t="e">
        <f>IF(OR(ISBLANK('Change in Means- Data Input'!E96),ISBLANK('Change in Means- Data Input'!F96)),"",'Change in Means- Data Input'!F96-'Change in Means- Data Input'!E96)</f>
        <v>#VALUE!</v>
      </c>
      <c r="D89" s="1" t="e">
        <f>IF(OR(ISBLANK('Change in Means- Data Input'!G96),ISBLANK('Change in Means- Data Input'!H96)),"",'Change in Means- Data Input'!H96-'Change in Means- Data Input'!G96)</f>
        <v>#VALUE!</v>
      </c>
      <c r="E89" s="1" t="e">
        <f>IF(OR(ISBLANK('Change in Means- Data Input'!I96),ISBLANK('Change in Means- Data Input'!J96)),"",'Change in Means- Data Input'!J96-'Change in Means- Data Input'!I96)</f>
        <v>#VALUE!</v>
      </c>
      <c r="F89" s="1" t="e">
        <f>IF(OR(ISBLANK('Change in Means- Data Input'!K96),ISBLANK('Change in Means- Data Input'!L96)),"",'Change in Means- Data Input'!L96-'Change in Means- Data Input'!K96)</f>
        <v>#VALUE!</v>
      </c>
      <c r="G89" s="17" t="e">
        <f>IF(OR(ISBLANK('Change in Means- Data Input'!M96),ISBLANK('Change in Means- Data Input'!N96)),"",'Change in Means- Data Input'!N96-'Change in Means- Data Input'!M96)</f>
        <v>#VALUE!</v>
      </c>
      <c r="H89" s="17" t="e">
        <f>IF(OR(ISBLANK('Change in Means- Data Input'!O96),ISBLANK('Change in Means- Data Input'!P96)),"",'Change in Means- Data Input'!P96-'Change in Means- Data Input'!O96)</f>
        <v>#VALUE!</v>
      </c>
      <c r="I89" s="17" t="e">
        <f>IF(OR(ISBLANK('Change in Means- Data Input'!Q96),ISBLANK('Change in Means- Data Input'!R96)),"",'Change in Means- Data Input'!R96-'Change in Means- Data Input'!Q96)</f>
        <v>#VALUE!</v>
      </c>
      <c r="J89" s="17" t="e">
        <f>IF(OR(ISBLANK('Change in Means- Data Input'!S96),ISBLANK('Change in Means- Data Input'!T96)),"",'Change in Means- Data Input'!T96-'Change in Means- Data Input'!S96)</f>
        <v>#VALUE!</v>
      </c>
      <c r="K89" s="1" t="str">
        <f>IF('Change in Means- Data Input'!A96="NA","NULL",COUNTIF('Change in Means- Data Input'!A96,"&gt;=3")+COUNTIF('Change in Means- Data Input'!C96,"&gt;=3")+COUNTIF('Change in Means- Data Input'!E96,"&gt;=3")+COUNTIF('Change in Means- Data Input'!G96,"&gt;=3")+COUNTIF('Change in Means- Data Input'!I96,"&gt;=3")+COUNTIF('Change in Means- Data Input'!K96,"&gt;=3")+COUNTIF('Change in Means- Data Input'!M96,"&gt;=3")+COUNTIF('Change in Means- Data Input'!O96,"&gt;=3")+COUNTIF('Change in Means- Data Input'!Q96,"&gt;=3")+COUNTIF('Change in Means- Data Input'!S96,"&gt;=3"))</f>
        <v>NULL</v>
      </c>
      <c r="L89" s="1" t="str">
        <f>IF('Change in Means- Data Input'!B96="NA","NULL",COUNTIF('Change in Means- Data Input'!B96,"&gt;=3")+COUNTIF('Change in Means- Data Input'!D96,"&gt;=3")+COUNTIF('Change in Means- Data Input'!F96,"&gt;=3")+COUNTIF('Change in Means- Data Input'!H96,"&gt;=3")+COUNTIF('Change in Means- Data Input'!J96,"&gt;=3")+COUNTIF('Change in Means- Data Input'!L96,"&gt;=3")+COUNTIF('Change in Means- Data Input'!N96,"&gt;=3")+COUNTIF('Change in Means- Data Input'!P96,"&gt;=3")+COUNTIF('Change in Means- Data Input'!R96,"&gt;=3")+COUNTIF('Change in Means- Data Input'!T96,"&gt;=3"))</f>
        <v>NULL</v>
      </c>
      <c r="M89" s="1" t="str">
        <f>IF(Table37[[#This Row],[Pre]]="NULL","NULL",IF(COUNTIF(A89:J89,"&gt;0"),"Yes","No"))</f>
        <v>NULL</v>
      </c>
    </row>
    <row r="90" spans="1:13" x14ac:dyDescent="0.2">
      <c r="A90" s="17" t="e">
        <f>IF(OR(ISBLANK('Change in Means- Data Input'!A97), ISBLANK('Change in Means- Data Input'!B97)),"", 'Change in Means- Data Input'!B97-'Change in Means- Data Input'!A97)</f>
        <v>#VALUE!</v>
      </c>
      <c r="B90" s="1" t="e">
        <f>IF(OR(ISBLANK('Change in Means- Data Input'!C97),ISBLANK('Change in Means- Data Input'!D97)),"",'Change in Means- Data Input'!D97-'Change in Means- Data Input'!C97)</f>
        <v>#VALUE!</v>
      </c>
      <c r="C90" s="1" t="e">
        <f>IF(OR(ISBLANK('Change in Means- Data Input'!E97),ISBLANK('Change in Means- Data Input'!F97)),"",'Change in Means- Data Input'!F97-'Change in Means- Data Input'!E97)</f>
        <v>#VALUE!</v>
      </c>
      <c r="D90" s="1" t="e">
        <f>IF(OR(ISBLANK('Change in Means- Data Input'!G97),ISBLANK('Change in Means- Data Input'!H97)),"",'Change in Means- Data Input'!H97-'Change in Means- Data Input'!G97)</f>
        <v>#VALUE!</v>
      </c>
      <c r="E90" s="1" t="e">
        <f>IF(OR(ISBLANK('Change in Means- Data Input'!I97),ISBLANK('Change in Means- Data Input'!J97)),"",'Change in Means- Data Input'!J97-'Change in Means- Data Input'!I97)</f>
        <v>#VALUE!</v>
      </c>
      <c r="F90" s="1" t="e">
        <f>IF(OR(ISBLANK('Change in Means- Data Input'!K97),ISBLANK('Change in Means- Data Input'!L97)),"",'Change in Means- Data Input'!L97-'Change in Means- Data Input'!K97)</f>
        <v>#VALUE!</v>
      </c>
      <c r="G90" s="17" t="e">
        <f>IF(OR(ISBLANK('Change in Means- Data Input'!M97),ISBLANK('Change in Means- Data Input'!N97)),"",'Change in Means- Data Input'!N97-'Change in Means- Data Input'!M97)</f>
        <v>#VALUE!</v>
      </c>
      <c r="H90" s="17" t="e">
        <f>IF(OR(ISBLANK('Change in Means- Data Input'!O97),ISBLANK('Change in Means- Data Input'!P97)),"",'Change in Means- Data Input'!P97-'Change in Means- Data Input'!O97)</f>
        <v>#VALUE!</v>
      </c>
      <c r="I90" s="17" t="e">
        <f>IF(OR(ISBLANK('Change in Means- Data Input'!Q97),ISBLANK('Change in Means- Data Input'!R97)),"",'Change in Means- Data Input'!R97-'Change in Means- Data Input'!Q97)</f>
        <v>#VALUE!</v>
      </c>
      <c r="J90" s="17" t="e">
        <f>IF(OR(ISBLANK('Change in Means- Data Input'!S97),ISBLANK('Change in Means- Data Input'!T97)),"",'Change in Means- Data Input'!T97-'Change in Means- Data Input'!S97)</f>
        <v>#VALUE!</v>
      </c>
      <c r="K90" s="1" t="str">
        <f>IF('Change in Means- Data Input'!A97="NA","NULL",COUNTIF('Change in Means- Data Input'!A97,"&gt;=3")+COUNTIF('Change in Means- Data Input'!C97,"&gt;=3")+COUNTIF('Change in Means- Data Input'!E97,"&gt;=3")+COUNTIF('Change in Means- Data Input'!G97,"&gt;=3")+COUNTIF('Change in Means- Data Input'!I97,"&gt;=3")+COUNTIF('Change in Means- Data Input'!K97,"&gt;=3")+COUNTIF('Change in Means- Data Input'!M97,"&gt;=3")+COUNTIF('Change in Means- Data Input'!O97,"&gt;=3")+COUNTIF('Change in Means- Data Input'!Q97,"&gt;=3")+COUNTIF('Change in Means- Data Input'!S97,"&gt;=3"))</f>
        <v>NULL</v>
      </c>
      <c r="L90" s="1" t="str">
        <f>IF('Change in Means- Data Input'!B97="NA","NULL",COUNTIF('Change in Means- Data Input'!B97,"&gt;=3")+COUNTIF('Change in Means- Data Input'!D97,"&gt;=3")+COUNTIF('Change in Means- Data Input'!F97,"&gt;=3")+COUNTIF('Change in Means- Data Input'!H97,"&gt;=3")+COUNTIF('Change in Means- Data Input'!J97,"&gt;=3")+COUNTIF('Change in Means- Data Input'!L97,"&gt;=3")+COUNTIF('Change in Means- Data Input'!N97,"&gt;=3")+COUNTIF('Change in Means- Data Input'!P97,"&gt;=3")+COUNTIF('Change in Means- Data Input'!R97,"&gt;=3")+COUNTIF('Change in Means- Data Input'!T97,"&gt;=3"))</f>
        <v>NULL</v>
      </c>
      <c r="M90" s="1" t="str">
        <f>IF(Table37[[#This Row],[Pre]]="NULL","NULL",IF(COUNTIF(A90:J90,"&gt;0"),"Yes","No"))</f>
        <v>NULL</v>
      </c>
    </row>
    <row r="91" spans="1:13" x14ac:dyDescent="0.2">
      <c r="A91" s="17" t="e">
        <f>IF(OR(ISBLANK('Change in Means- Data Input'!A98), ISBLANK('Change in Means- Data Input'!B98)),"", 'Change in Means- Data Input'!B98-'Change in Means- Data Input'!A98)</f>
        <v>#VALUE!</v>
      </c>
      <c r="B91" s="1" t="e">
        <f>IF(OR(ISBLANK('Change in Means- Data Input'!C98),ISBLANK('Change in Means- Data Input'!D98)),"",'Change in Means- Data Input'!D98-'Change in Means- Data Input'!C98)</f>
        <v>#VALUE!</v>
      </c>
      <c r="C91" s="1" t="e">
        <f>IF(OR(ISBLANK('Change in Means- Data Input'!E98),ISBLANK('Change in Means- Data Input'!F98)),"",'Change in Means- Data Input'!F98-'Change in Means- Data Input'!E98)</f>
        <v>#VALUE!</v>
      </c>
      <c r="D91" s="1" t="e">
        <f>IF(OR(ISBLANK('Change in Means- Data Input'!G98),ISBLANK('Change in Means- Data Input'!H98)),"",'Change in Means- Data Input'!H98-'Change in Means- Data Input'!G98)</f>
        <v>#VALUE!</v>
      </c>
      <c r="E91" s="1" t="e">
        <f>IF(OR(ISBLANK('Change in Means- Data Input'!I98),ISBLANK('Change in Means- Data Input'!J98)),"",'Change in Means- Data Input'!J98-'Change in Means- Data Input'!I98)</f>
        <v>#VALUE!</v>
      </c>
      <c r="F91" s="1" t="e">
        <f>IF(OR(ISBLANK('Change in Means- Data Input'!K98),ISBLANK('Change in Means- Data Input'!L98)),"",'Change in Means- Data Input'!L98-'Change in Means- Data Input'!K98)</f>
        <v>#VALUE!</v>
      </c>
      <c r="G91" s="17" t="e">
        <f>IF(OR(ISBLANK('Change in Means- Data Input'!M98),ISBLANK('Change in Means- Data Input'!N98)),"",'Change in Means- Data Input'!N98-'Change in Means- Data Input'!M98)</f>
        <v>#VALUE!</v>
      </c>
      <c r="H91" s="17" t="e">
        <f>IF(OR(ISBLANK('Change in Means- Data Input'!O98),ISBLANK('Change in Means- Data Input'!P98)),"",'Change in Means- Data Input'!P98-'Change in Means- Data Input'!O98)</f>
        <v>#VALUE!</v>
      </c>
      <c r="I91" s="17" t="e">
        <f>IF(OR(ISBLANK('Change in Means- Data Input'!Q98),ISBLANK('Change in Means- Data Input'!R98)),"",'Change in Means- Data Input'!R98-'Change in Means- Data Input'!Q98)</f>
        <v>#VALUE!</v>
      </c>
      <c r="J91" s="17" t="e">
        <f>IF(OR(ISBLANK('Change in Means- Data Input'!S98),ISBLANK('Change in Means- Data Input'!T98)),"",'Change in Means- Data Input'!T98-'Change in Means- Data Input'!S98)</f>
        <v>#VALUE!</v>
      </c>
      <c r="K91" s="1" t="str">
        <f>IF('Change in Means- Data Input'!A98="NA","NULL",COUNTIF('Change in Means- Data Input'!A98,"&gt;=3")+COUNTIF('Change in Means- Data Input'!C98,"&gt;=3")+COUNTIF('Change in Means- Data Input'!E98,"&gt;=3")+COUNTIF('Change in Means- Data Input'!G98,"&gt;=3")+COUNTIF('Change in Means- Data Input'!I98,"&gt;=3")+COUNTIF('Change in Means- Data Input'!K98,"&gt;=3")+COUNTIF('Change in Means- Data Input'!M98,"&gt;=3")+COUNTIF('Change in Means- Data Input'!O98,"&gt;=3")+COUNTIF('Change in Means- Data Input'!Q98,"&gt;=3")+COUNTIF('Change in Means- Data Input'!S98,"&gt;=3"))</f>
        <v>NULL</v>
      </c>
      <c r="L91" s="1" t="str">
        <f>IF('Change in Means- Data Input'!B98="NA","NULL",COUNTIF('Change in Means- Data Input'!B98,"&gt;=3")+COUNTIF('Change in Means- Data Input'!D98,"&gt;=3")+COUNTIF('Change in Means- Data Input'!F98,"&gt;=3")+COUNTIF('Change in Means- Data Input'!H98,"&gt;=3")+COUNTIF('Change in Means- Data Input'!J98,"&gt;=3")+COUNTIF('Change in Means- Data Input'!L98,"&gt;=3")+COUNTIF('Change in Means- Data Input'!N98,"&gt;=3")+COUNTIF('Change in Means- Data Input'!P98,"&gt;=3")+COUNTIF('Change in Means- Data Input'!R98,"&gt;=3")+COUNTIF('Change in Means- Data Input'!T98,"&gt;=3"))</f>
        <v>NULL</v>
      </c>
      <c r="M91" s="1" t="str">
        <f>IF(Table37[[#This Row],[Pre]]="NULL","NULL",IF(COUNTIF(A91:J91,"&gt;0"),"Yes","No"))</f>
        <v>NULL</v>
      </c>
    </row>
    <row r="92" spans="1:13" x14ac:dyDescent="0.2">
      <c r="A92" s="17" t="e">
        <f>IF(OR(ISBLANK('Change in Means- Data Input'!A99), ISBLANK('Change in Means- Data Input'!B99)),"", 'Change in Means- Data Input'!B99-'Change in Means- Data Input'!A99)</f>
        <v>#VALUE!</v>
      </c>
      <c r="B92" s="1" t="e">
        <f>IF(OR(ISBLANK('Change in Means- Data Input'!C99),ISBLANK('Change in Means- Data Input'!D99)),"",'Change in Means- Data Input'!D99-'Change in Means- Data Input'!C99)</f>
        <v>#VALUE!</v>
      </c>
      <c r="C92" s="1" t="e">
        <f>IF(OR(ISBLANK('Change in Means- Data Input'!E99),ISBLANK('Change in Means- Data Input'!F99)),"",'Change in Means- Data Input'!F99-'Change in Means- Data Input'!E99)</f>
        <v>#VALUE!</v>
      </c>
      <c r="D92" s="1" t="e">
        <f>IF(OR(ISBLANK('Change in Means- Data Input'!G99),ISBLANK('Change in Means- Data Input'!H99)),"",'Change in Means- Data Input'!H99-'Change in Means- Data Input'!G99)</f>
        <v>#VALUE!</v>
      </c>
      <c r="E92" s="1" t="e">
        <f>IF(OR(ISBLANK('Change in Means- Data Input'!I99),ISBLANK('Change in Means- Data Input'!J99)),"",'Change in Means- Data Input'!J99-'Change in Means- Data Input'!I99)</f>
        <v>#VALUE!</v>
      </c>
      <c r="F92" s="1" t="e">
        <f>IF(OR(ISBLANK('Change in Means- Data Input'!K99),ISBLANK('Change in Means- Data Input'!L99)),"",'Change in Means- Data Input'!L99-'Change in Means- Data Input'!K99)</f>
        <v>#VALUE!</v>
      </c>
      <c r="G92" s="17" t="e">
        <f>IF(OR(ISBLANK('Change in Means- Data Input'!M99),ISBLANK('Change in Means- Data Input'!N99)),"",'Change in Means- Data Input'!N99-'Change in Means- Data Input'!M99)</f>
        <v>#VALUE!</v>
      </c>
      <c r="H92" s="17" t="e">
        <f>IF(OR(ISBLANK('Change in Means- Data Input'!O99),ISBLANK('Change in Means- Data Input'!P99)),"",'Change in Means- Data Input'!P99-'Change in Means- Data Input'!O99)</f>
        <v>#VALUE!</v>
      </c>
      <c r="I92" s="17" t="e">
        <f>IF(OR(ISBLANK('Change in Means- Data Input'!Q99),ISBLANK('Change in Means- Data Input'!R99)),"",'Change in Means- Data Input'!R99-'Change in Means- Data Input'!Q99)</f>
        <v>#VALUE!</v>
      </c>
      <c r="J92" s="17" t="e">
        <f>IF(OR(ISBLANK('Change in Means- Data Input'!S99),ISBLANK('Change in Means- Data Input'!T99)),"",'Change in Means- Data Input'!T99-'Change in Means- Data Input'!S99)</f>
        <v>#VALUE!</v>
      </c>
      <c r="K92" s="1" t="str">
        <f>IF('Change in Means- Data Input'!A99="NA","NULL",COUNTIF('Change in Means- Data Input'!A99,"&gt;=3")+COUNTIF('Change in Means- Data Input'!C99,"&gt;=3")+COUNTIF('Change in Means- Data Input'!E99,"&gt;=3")+COUNTIF('Change in Means- Data Input'!G99,"&gt;=3")+COUNTIF('Change in Means- Data Input'!I99,"&gt;=3")+COUNTIF('Change in Means- Data Input'!K99,"&gt;=3")+COUNTIF('Change in Means- Data Input'!M99,"&gt;=3")+COUNTIF('Change in Means- Data Input'!O99,"&gt;=3")+COUNTIF('Change in Means- Data Input'!Q99,"&gt;=3")+COUNTIF('Change in Means- Data Input'!S99,"&gt;=3"))</f>
        <v>NULL</v>
      </c>
      <c r="L92" s="1" t="str">
        <f>IF('Change in Means- Data Input'!B99="NA","NULL",COUNTIF('Change in Means- Data Input'!B99,"&gt;=3")+COUNTIF('Change in Means- Data Input'!D99,"&gt;=3")+COUNTIF('Change in Means- Data Input'!F99,"&gt;=3")+COUNTIF('Change in Means- Data Input'!H99,"&gt;=3")+COUNTIF('Change in Means- Data Input'!J99,"&gt;=3")+COUNTIF('Change in Means- Data Input'!L99,"&gt;=3")+COUNTIF('Change in Means- Data Input'!N99,"&gt;=3")+COUNTIF('Change in Means- Data Input'!P99,"&gt;=3")+COUNTIF('Change in Means- Data Input'!R99,"&gt;=3")+COUNTIF('Change in Means- Data Input'!T99,"&gt;=3"))</f>
        <v>NULL</v>
      </c>
      <c r="M92" s="1" t="str">
        <f>IF(Table37[[#This Row],[Pre]]="NULL","NULL",IF(COUNTIF(A92:J92,"&gt;0"),"Yes","No"))</f>
        <v>NULL</v>
      </c>
    </row>
    <row r="93" spans="1:13" x14ac:dyDescent="0.2">
      <c r="A93" s="17" t="e">
        <f>IF(OR(ISBLANK('Change in Means- Data Input'!A100), ISBLANK('Change in Means- Data Input'!B100)),"", 'Change in Means- Data Input'!B100-'Change in Means- Data Input'!A100)</f>
        <v>#VALUE!</v>
      </c>
      <c r="B93" s="1" t="e">
        <f>IF(OR(ISBLANK('Change in Means- Data Input'!C100),ISBLANK('Change in Means- Data Input'!D100)),"",'Change in Means- Data Input'!D100-'Change in Means- Data Input'!C100)</f>
        <v>#VALUE!</v>
      </c>
      <c r="C93" s="1" t="e">
        <f>IF(OR(ISBLANK('Change in Means- Data Input'!E100),ISBLANK('Change in Means- Data Input'!F100)),"",'Change in Means- Data Input'!F100-'Change in Means- Data Input'!E100)</f>
        <v>#VALUE!</v>
      </c>
      <c r="D93" s="1" t="e">
        <f>IF(OR(ISBLANK('Change in Means- Data Input'!G100),ISBLANK('Change in Means- Data Input'!H100)),"",'Change in Means- Data Input'!H100-'Change in Means- Data Input'!G100)</f>
        <v>#VALUE!</v>
      </c>
      <c r="E93" s="1" t="e">
        <f>IF(OR(ISBLANK('Change in Means- Data Input'!I100),ISBLANK('Change in Means- Data Input'!J100)),"",'Change in Means- Data Input'!J100-'Change in Means- Data Input'!I100)</f>
        <v>#VALUE!</v>
      </c>
      <c r="F93" s="1" t="e">
        <f>IF(OR(ISBLANK('Change in Means- Data Input'!K100),ISBLANK('Change in Means- Data Input'!L100)),"",'Change in Means- Data Input'!L100-'Change in Means- Data Input'!K100)</f>
        <v>#VALUE!</v>
      </c>
      <c r="G93" s="17" t="e">
        <f>IF(OR(ISBLANK('Change in Means- Data Input'!M100),ISBLANK('Change in Means- Data Input'!N100)),"",'Change in Means- Data Input'!N100-'Change in Means- Data Input'!M100)</f>
        <v>#VALUE!</v>
      </c>
      <c r="H93" s="17" t="e">
        <f>IF(OR(ISBLANK('Change in Means- Data Input'!O100),ISBLANK('Change in Means- Data Input'!P100)),"",'Change in Means- Data Input'!P100-'Change in Means- Data Input'!O100)</f>
        <v>#VALUE!</v>
      </c>
      <c r="I93" s="17" t="e">
        <f>IF(OR(ISBLANK('Change in Means- Data Input'!Q100),ISBLANK('Change in Means- Data Input'!R100)),"",'Change in Means- Data Input'!R100-'Change in Means- Data Input'!Q100)</f>
        <v>#VALUE!</v>
      </c>
      <c r="J93" s="17" t="e">
        <f>IF(OR(ISBLANK('Change in Means- Data Input'!S100),ISBLANK('Change in Means- Data Input'!T100)),"",'Change in Means- Data Input'!T100-'Change in Means- Data Input'!S100)</f>
        <v>#VALUE!</v>
      </c>
      <c r="K93" s="1" t="str">
        <f>IF('Change in Means- Data Input'!A100="NA","NULL",COUNTIF('Change in Means- Data Input'!A100,"&gt;=3")+COUNTIF('Change in Means- Data Input'!C100,"&gt;=3")+COUNTIF('Change in Means- Data Input'!E100,"&gt;=3")+COUNTIF('Change in Means- Data Input'!G100,"&gt;=3")+COUNTIF('Change in Means- Data Input'!I100,"&gt;=3")+COUNTIF('Change in Means- Data Input'!K100,"&gt;=3")+COUNTIF('Change in Means- Data Input'!M100,"&gt;=3")+COUNTIF('Change in Means- Data Input'!O100,"&gt;=3")+COUNTIF('Change in Means- Data Input'!Q100,"&gt;=3")+COUNTIF('Change in Means- Data Input'!S100,"&gt;=3"))</f>
        <v>NULL</v>
      </c>
      <c r="L93" s="1" t="str">
        <f>IF('Change in Means- Data Input'!B100="NA","NULL",COUNTIF('Change in Means- Data Input'!B100,"&gt;=3")+COUNTIF('Change in Means- Data Input'!D100,"&gt;=3")+COUNTIF('Change in Means- Data Input'!F100,"&gt;=3")+COUNTIF('Change in Means- Data Input'!H100,"&gt;=3")+COUNTIF('Change in Means- Data Input'!J100,"&gt;=3")+COUNTIF('Change in Means- Data Input'!L100,"&gt;=3")+COUNTIF('Change in Means- Data Input'!N100,"&gt;=3")+COUNTIF('Change in Means- Data Input'!P100,"&gt;=3")+COUNTIF('Change in Means- Data Input'!R100,"&gt;=3")+COUNTIF('Change in Means- Data Input'!T100,"&gt;=3"))</f>
        <v>NULL</v>
      </c>
      <c r="M93" s="1" t="str">
        <f>IF(Table37[[#This Row],[Pre]]="NULL","NULL",IF(COUNTIF(A93:J93,"&gt;0"),"Yes","No"))</f>
        <v>NULL</v>
      </c>
    </row>
    <row r="94" spans="1:13" x14ac:dyDescent="0.2">
      <c r="A94" s="17" t="e">
        <f>IF(OR(ISBLANK('Change in Means- Data Input'!A101), ISBLANK('Change in Means- Data Input'!B101)),"", 'Change in Means- Data Input'!B101-'Change in Means- Data Input'!A101)</f>
        <v>#VALUE!</v>
      </c>
      <c r="B94" s="1" t="e">
        <f>IF(OR(ISBLANK('Change in Means- Data Input'!C101),ISBLANK('Change in Means- Data Input'!D101)),"",'Change in Means- Data Input'!D101-'Change in Means- Data Input'!C101)</f>
        <v>#VALUE!</v>
      </c>
      <c r="C94" s="1" t="e">
        <f>IF(OR(ISBLANK('Change in Means- Data Input'!E101),ISBLANK('Change in Means- Data Input'!F101)),"",'Change in Means- Data Input'!F101-'Change in Means- Data Input'!E101)</f>
        <v>#VALUE!</v>
      </c>
      <c r="D94" s="1" t="e">
        <f>IF(OR(ISBLANK('Change in Means- Data Input'!G101),ISBLANK('Change in Means- Data Input'!H101)),"",'Change in Means- Data Input'!H101-'Change in Means- Data Input'!G101)</f>
        <v>#VALUE!</v>
      </c>
      <c r="E94" s="1" t="e">
        <f>IF(OR(ISBLANK('Change in Means- Data Input'!I101),ISBLANK('Change in Means- Data Input'!J101)),"",'Change in Means- Data Input'!J101-'Change in Means- Data Input'!I101)</f>
        <v>#VALUE!</v>
      </c>
      <c r="F94" s="1" t="e">
        <f>IF(OR(ISBLANK('Change in Means- Data Input'!K101),ISBLANK('Change in Means- Data Input'!L101)),"",'Change in Means- Data Input'!L101-'Change in Means- Data Input'!K101)</f>
        <v>#VALUE!</v>
      </c>
      <c r="G94" s="17" t="e">
        <f>IF(OR(ISBLANK('Change in Means- Data Input'!M101),ISBLANK('Change in Means- Data Input'!N101)),"",'Change in Means- Data Input'!N101-'Change in Means- Data Input'!M101)</f>
        <v>#VALUE!</v>
      </c>
      <c r="H94" s="17" t="e">
        <f>IF(OR(ISBLANK('Change in Means- Data Input'!O101),ISBLANK('Change in Means- Data Input'!P101)),"",'Change in Means- Data Input'!P101-'Change in Means- Data Input'!O101)</f>
        <v>#VALUE!</v>
      </c>
      <c r="I94" s="17" t="e">
        <f>IF(OR(ISBLANK('Change in Means- Data Input'!Q101),ISBLANK('Change in Means- Data Input'!R101)),"",'Change in Means- Data Input'!R101-'Change in Means- Data Input'!Q101)</f>
        <v>#VALUE!</v>
      </c>
      <c r="J94" s="17" t="e">
        <f>IF(OR(ISBLANK('Change in Means- Data Input'!S101),ISBLANK('Change in Means- Data Input'!T101)),"",'Change in Means- Data Input'!T101-'Change in Means- Data Input'!S101)</f>
        <v>#VALUE!</v>
      </c>
      <c r="K94" s="1" t="str">
        <f>IF('Change in Means- Data Input'!A101="NA","NULL",COUNTIF('Change in Means- Data Input'!A101,"&gt;=3")+COUNTIF('Change in Means- Data Input'!C101,"&gt;=3")+COUNTIF('Change in Means- Data Input'!E101,"&gt;=3")+COUNTIF('Change in Means- Data Input'!G101,"&gt;=3")+COUNTIF('Change in Means- Data Input'!I101,"&gt;=3")+COUNTIF('Change in Means- Data Input'!K101,"&gt;=3")+COUNTIF('Change in Means- Data Input'!M101,"&gt;=3")+COUNTIF('Change in Means- Data Input'!O101,"&gt;=3")+COUNTIF('Change in Means- Data Input'!Q101,"&gt;=3")+COUNTIF('Change in Means- Data Input'!S101,"&gt;=3"))</f>
        <v>NULL</v>
      </c>
      <c r="L94" s="1" t="str">
        <f>IF('Change in Means- Data Input'!B101="NA","NULL",COUNTIF('Change in Means- Data Input'!B101,"&gt;=3")+COUNTIF('Change in Means- Data Input'!D101,"&gt;=3")+COUNTIF('Change in Means- Data Input'!F101,"&gt;=3")+COUNTIF('Change in Means- Data Input'!H101,"&gt;=3")+COUNTIF('Change in Means- Data Input'!J101,"&gt;=3")+COUNTIF('Change in Means- Data Input'!L101,"&gt;=3")+COUNTIF('Change in Means- Data Input'!N101,"&gt;=3")+COUNTIF('Change in Means- Data Input'!P101,"&gt;=3")+COUNTIF('Change in Means- Data Input'!R101,"&gt;=3")+COUNTIF('Change in Means- Data Input'!T101,"&gt;=3"))</f>
        <v>NULL</v>
      </c>
      <c r="M94" s="1" t="str">
        <f>IF(Table37[[#This Row],[Pre]]="NULL","NULL",IF(COUNTIF(A94:J94,"&gt;0"),"Yes","No"))</f>
        <v>NULL</v>
      </c>
    </row>
    <row r="95" spans="1:13" x14ac:dyDescent="0.2">
      <c r="A95" s="17" t="e">
        <f>IF(OR(ISBLANK('Change in Means- Data Input'!A102), ISBLANK('Change in Means- Data Input'!B102)),"", 'Change in Means- Data Input'!B102-'Change in Means- Data Input'!A102)</f>
        <v>#VALUE!</v>
      </c>
      <c r="B95" s="1" t="e">
        <f>IF(OR(ISBLANK('Change in Means- Data Input'!C102),ISBLANK('Change in Means- Data Input'!D102)),"",'Change in Means- Data Input'!D102-'Change in Means- Data Input'!C102)</f>
        <v>#VALUE!</v>
      </c>
      <c r="C95" s="1" t="e">
        <f>IF(OR(ISBLANK('Change in Means- Data Input'!E102),ISBLANK('Change in Means- Data Input'!F102)),"",'Change in Means- Data Input'!F102-'Change in Means- Data Input'!E102)</f>
        <v>#VALUE!</v>
      </c>
      <c r="D95" s="1" t="e">
        <f>IF(OR(ISBLANK('Change in Means- Data Input'!G102),ISBLANK('Change in Means- Data Input'!H102)),"",'Change in Means- Data Input'!H102-'Change in Means- Data Input'!G102)</f>
        <v>#VALUE!</v>
      </c>
      <c r="E95" s="1" t="e">
        <f>IF(OR(ISBLANK('Change in Means- Data Input'!I102),ISBLANK('Change in Means- Data Input'!J102)),"",'Change in Means- Data Input'!J102-'Change in Means- Data Input'!I102)</f>
        <v>#VALUE!</v>
      </c>
      <c r="F95" s="1" t="e">
        <f>IF(OR(ISBLANK('Change in Means- Data Input'!K102),ISBLANK('Change in Means- Data Input'!L102)),"",'Change in Means- Data Input'!L102-'Change in Means- Data Input'!K102)</f>
        <v>#VALUE!</v>
      </c>
      <c r="G95" s="17" t="e">
        <f>IF(OR(ISBLANK('Change in Means- Data Input'!M102),ISBLANK('Change in Means- Data Input'!N102)),"",'Change in Means- Data Input'!N102-'Change in Means- Data Input'!M102)</f>
        <v>#VALUE!</v>
      </c>
      <c r="H95" s="17" t="e">
        <f>IF(OR(ISBLANK('Change in Means- Data Input'!O102),ISBLANK('Change in Means- Data Input'!P102)),"",'Change in Means- Data Input'!P102-'Change in Means- Data Input'!O102)</f>
        <v>#VALUE!</v>
      </c>
      <c r="I95" s="17" t="e">
        <f>IF(OR(ISBLANK('Change in Means- Data Input'!Q102),ISBLANK('Change in Means- Data Input'!R102)),"",'Change in Means- Data Input'!R102-'Change in Means- Data Input'!Q102)</f>
        <v>#VALUE!</v>
      </c>
      <c r="J95" s="17" t="e">
        <f>IF(OR(ISBLANK('Change in Means- Data Input'!S102),ISBLANK('Change in Means- Data Input'!T102)),"",'Change in Means- Data Input'!T102-'Change in Means- Data Input'!S102)</f>
        <v>#VALUE!</v>
      </c>
      <c r="K95" s="1" t="str">
        <f>IF('Change in Means- Data Input'!A102="NA","NULL",COUNTIF('Change in Means- Data Input'!A102,"&gt;=3")+COUNTIF('Change in Means- Data Input'!C102,"&gt;=3")+COUNTIF('Change in Means- Data Input'!E102,"&gt;=3")+COUNTIF('Change in Means- Data Input'!G102,"&gt;=3")+COUNTIF('Change in Means- Data Input'!I102,"&gt;=3")+COUNTIF('Change in Means- Data Input'!K102,"&gt;=3")+COUNTIF('Change in Means- Data Input'!M102,"&gt;=3")+COUNTIF('Change in Means- Data Input'!O102,"&gt;=3")+COUNTIF('Change in Means- Data Input'!Q102,"&gt;=3")+COUNTIF('Change in Means- Data Input'!S102,"&gt;=3"))</f>
        <v>NULL</v>
      </c>
      <c r="L95" s="1" t="str">
        <f>IF('Change in Means- Data Input'!B102="NA","NULL",COUNTIF('Change in Means- Data Input'!B102,"&gt;=3")+COUNTIF('Change in Means- Data Input'!D102,"&gt;=3")+COUNTIF('Change in Means- Data Input'!F102,"&gt;=3")+COUNTIF('Change in Means- Data Input'!H102,"&gt;=3")+COUNTIF('Change in Means- Data Input'!J102,"&gt;=3")+COUNTIF('Change in Means- Data Input'!L102,"&gt;=3")+COUNTIF('Change in Means- Data Input'!N102,"&gt;=3")+COUNTIF('Change in Means- Data Input'!P102,"&gt;=3")+COUNTIF('Change in Means- Data Input'!R102,"&gt;=3")+COUNTIF('Change in Means- Data Input'!T102,"&gt;=3"))</f>
        <v>NULL</v>
      </c>
      <c r="M95" s="1" t="str">
        <f>IF(Table37[[#This Row],[Pre]]="NULL","NULL",IF(COUNTIF(A95:J95,"&gt;0"),"Yes","No"))</f>
        <v>NULL</v>
      </c>
    </row>
    <row r="96" spans="1:13" x14ac:dyDescent="0.2">
      <c r="A96" s="17" t="e">
        <f>IF(OR(ISBLANK('Change in Means- Data Input'!A103), ISBLANK('Change in Means- Data Input'!B103)),"", 'Change in Means- Data Input'!B103-'Change in Means- Data Input'!A103)</f>
        <v>#VALUE!</v>
      </c>
      <c r="B96" s="1" t="e">
        <f>IF(OR(ISBLANK('Change in Means- Data Input'!C103),ISBLANK('Change in Means- Data Input'!D103)),"",'Change in Means- Data Input'!D103-'Change in Means- Data Input'!C103)</f>
        <v>#VALUE!</v>
      </c>
      <c r="C96" s="1" t="e">
        <f>IF(OR(ISBLANK('Change in Means- Data Input'!E103),ISBLANK('Change in Means- Data Input'!F103)),"",'Change in Means- Data Input'!F103-'Change in Means- Data Input'!E103)</f>
        <v>#VALUE!</v>
      </c>
      <c r="D96" s="1" t="e">
        <f>IF(OR(ISBLANK('Change in Means- Data Input'!G103),ISBLANK('Change in Means- Data Input'!H103)),"",'Change in Means- Data Input'!H103-'Change in Means- Data Input'!G103)</f>
        <v>#VALUE!</v>
      </c>
      <c r="E96" s="1" t="e">
        <f>IF(OR(ISBLANK('Change in Means- Data Input'!I103),ISBLANK('Change in Means- Data Input'!J103)),"",'Change in Means- Data Input'!J103-'Change in Means- Data Input'!I103)</f>
        <v>#VALUE!</v>
      </c>
      <c r="F96" s="1" t="e">
        <f>IF(OR(ISBLANK('Change in Means- Data Input'!K103),ISBLANK('Change in Means- Data Input'!L103)),"",'Change in Means- Data Input'!L103-'Change in Means- Data Input'!K103)</f>
        <v>#VALUE!</v>
      </c>
      <c r="G96" s="17" t="e">
        <f>IF(OR(ISBLANK('Change in Means- Data Input'!M103),ISBLANK('Change in Means- Data Input'!N103)),"",'Change in Means- Data Input'!N103-'Change in Means- Data Input'!M103)</f>
        <v>#VALUE!</v>
      </c>
      <c r="H96" s="17" t="e">
        <f>IF(OR(ISBLANK('Change in Means- Data Input'!O103),ISBLANK('Change in Means- Data Input'!P103)),"",'Change in Means- Data Input'!P103-'Change in Means- Data Input'!O103)</f>
        <v>#VALUE!</v>
      </c>
      <c r="I96" s="17" t="e">
        <f>IF(OR(ISBLANK('Change in Means- Data Input'!Q103),ISBLANK('Change in Means- Data Input'!R103)),"",'Change in Means- Data Input'!R103-'Change in Means- Data Input'!Q103)</f>
        <v>#VALUE!</v>
      </c>
      <c r="J96" s="17" t="e">
        <f>IF(OR(ISBLANK('Change in Means- Data Input'!S103),ISBLANK('Change in Means- Data Input'!T103)),"",'Change in Means- Data Input'!T103-'Change in Means- Data Input'!S103)</f>
        <v>#VALUE!</v>
      </c>
      <c r="K96" s="1" t="str">
        <f>IF('Change in Means- Data Input'!A103="NA","NULL",COUNTIF('Change in Means- Data Input'!A103,"&gt;=3")+COUNTIF('Change in Means- Data Input'!C103,"&gt;=3")+COUNTIF('Change in Means- Data Input'!E103,"&gt;=3")+COUNTIF('Change in Means- Data Input'!G103,"&gt;=3")+COUNTIF('Change in Means- Data Input'!I103,"&gt;=3")+COUNTIF('Change in Means- Data Input'!K103,"&gt;=3")+COUNTIF('Change in Means- Data Input'!M103,"&gt;=3")+COUNTIF('Change in Means- Data Input'!O103,"&gt;=3")+COUNTIF('Change in Means- Data Input'!Q103,"&gt;=3")+COUNTIF('Change in Means- Data Input'!S103,"&gt;=3"))</f>
        <v>NULL</v>
      </c>
      <c r="L96" s="1" t="str">
        <f>IF('Change in Means- Data Input'!B103="NA","NULL",COUNTIF('Change in Means- Data Input'!B103,"&gt;=3")+COUNTIF('Change in Means- Data Input'!D103,"&gt;=3")+COUNTIF('Change in Means- Data Input'!F103,"&gt;=3")+COUNTIF('Change in Means- Data Input'!H103,"&gt;=3")+COUNTIF('Change in Means- Data Input'!J103,"&gt;=3")+COUNTIF('Change in Means- Data Input'!L103,"&gt;=3")+COUNTIF('Change in Means- Data Input'!N103,"&gt;=3")+COUNTIF('Change in Means- Data Input'!P103,"&gt;=3")+COUNTIF('Change in Means- Data Input'!R103,"&gt;=3")+COUNTIF('Change in Means- Data Input'!T103,"&gt;=3"))</f>
        <v>NULL</v>
      </c>
      <c r="M96" s="1" t="str">
        <f>IF(Table37[[#This Row],[Pre]]="NULL","NULL",IF(COUNTIF(A96:J96,"&gt;0"),"Yes","No"))</f>
        <v>NULL</v>
      </c>
    </row>
    <row r="97" spans="1:13" x14ac:dyDescent="0.2">
      <c r="A97" s="17" t="e">
        <f>IF(OR(ISBLANK('Change in Means- Data Input'!A104), ISBLANK('Change in Means- Data Input'!B104)),"", 'Change in Means- Data Input'!B104-'Change in Means- Data Input'!A104)</f>
        <v>#VALUE!</v>
      </c>
      <c r="B97" s="1" t="e">
        <f>IF(OR(ISBLANK('Change in Means- Data Input'!C104),ISBLANK('Change in Means- Data Input'!D104)),"",'Change in Means- Data Input'!D104-'Change in Means- Data Input'!C104)</f>
        <v>#VALUE!</v>
      </c>
      <c r="C97" s="1" t="e">
        <f>IF(OR(ISBLANK('Change in Means- Data Input'!E104),ISBLANK('Change in Means- Data Input'!F104)),"",'Change in Means- Data Input'!F104-'Change in Means- Data Input'!E104)</f>
        <v>#VALUE!</v>
      </c>
      <c r="D97" s="1" t="e">
        <f>IF(OR(ISBLANK('Change in Means- Data Input'!G104),ISBLANK('Change in Means- Data Input'!H104)),"",'Change in Means- Data Input'!H104-'Change in Means- Data Input'!G104)</f>
        <v>#VALUE!</v>
      </c>
      <c r="E97" s="1" t="e">
        <f>IF(OR(ISBLANK('Change in Means- Data Input'!I104),ISBLANK('Change in Means- Data Input'!J104)),"",'Change in Means- Data Input'!J104-'Change in Means- Data Input'!I104)</f>
        <v>#VALUE!</v>
      </c>
      <c r="F97" s="1" t="e">
        <f>IF(OR(ISBLANK('Change in Means- Data Input'!K104),ISBLANK('Change in Means- Data Input'!L104)),"",'Change in Means- Data Input'!L104-'Change in Means- Data Input'!K104)</f>
        <v>#VALUE!</v>
      </c>
      <c r="G97" s="17" t="e">
        <f>IF(OR(ISBLANK('Change in Means- Data Input'!M104),ISBLANK('Change in Means- Data Input'!N104)),"",'Change in Means- Data Input'!N104-'Change in Means- Data Input'!M104)</f>
        <v>#VALUE!</v>
      </c>
      <c r="H97" s="17" t="e">
        <f>IF(OR(ISBLANK('Change in Means- Data Input'!O104),ISBLANK('Change in Means- Data Input'!P104)),"",'Change in Means- Data Input'!P104-'Change in Means- Data Input'!O104)</f>
        <v>#VALUE!</v>
      </c>
      <c r="I97" s="17" t="e">
        <f>IF(OR(ISBLANK('Change in Means- Data Input'!Q104),ISBLANK('Change in Means- Data Input'!R104)),"",'Change in Means- Data Input'!R104-'Change in Means- Data Input'!Q104)</f>
        <v>#VALUE!</v>
      </c>
      <c r="J97" s="17" t="e">
        <f>IF(OR(ISBLANK('Change in Means- Data Input'!S104),ISBLANK('Change in Means- Data Input'!T104)),"",'Change in Means- Data Input'!T104-'Change in Means- Data Input'!S104)</f>
        <v>#VALUE!</v>
      </c>
      <c r="K97" s="1" t="str">
        <f>IF('Change in Means- Data Input'!A104="NA","NULL",COUNTIF('Change in Means- Data Input'!A104,"&gt;=3")+COUNTIF('Change in Means- Data Input'!C104,"&gt;=3")+COUNTIF('Change in Means- Data Input'!E104,"&gt;=3")+COUNTIF('Change in Means- Data Input'!G104,"&gt;=3")+COUNTIF('Change in Means- Data Input'!I104,"&gt;=3")+COUNTIF('Change in Means- Data Input'!K104,"&gt;=3")+COUNTIF('Change in Means- Data Input'!M104,"&gt;=3")+COUNTIF('Change in Means- Data Input'!O104,"&gt;=3")+COUNTIF('Change in Means- Data Input'!Q104,"&gt;=3")+COUNTIF('Change in Means- Data Input'!S104,"&gt;=3"))</f>
        <v>NULL</v>
      </c>
      <c r="L97" s="1" t="str">
        <f>IF('Change in Means- Data Input'!B104="NA","NULL",COUNTIF('Change in Means- Data Input'!B104,"&gt;=3")+COUNTIF('Change in Means- Data Input'!D104,"&gt;=3")+COUNTIF('Change in Means- Data Input'!F104,"&gt;=3")+COUNTIF('Change in Means- Data Input'!H104,"&gt;=3")+COUNTIF('Change in Means- Data Input'!J104,"&gt;=3")+COUNTIF('Change in Means- Data Input'!L104,"&gt;=3")+COUNTIF('Change in Means- Data Input'!N104,"&gt;=3")+COUNTIF('Change in Means- Data Input'!P104,"&gt;=3")+COUNTIF('Change in Means- Data Input'!R104,"&gt;=3")+COUNTIF('Change in Means- Data Input'!T104,"&gt;=3"))</f>
        <v>NULL</v>
      </c>
      <c r="M97" s="1" t="str">
        <f>IF(Table37[[#This Row],[Pre]]="NULL","NULL",IF(COUNTIF(A97:J97,"&gt;0"),"Yes","No"))</f>
        <v>NULL</v>
      </c>
    </row>
    <row r="98" spans="1:13" x14ac:dyDescent="0.2">
      <c r="A98" s="17" t="e">
        <f>IF(OR(ISBLANK('Change in Means- Data Input'!A105), ISBLANK('Change in Means- Data Input'!B105)),"", 'Change in Means- Data Input'!B105-'Change in Means- Data Input'!A105)</f>
        <v>#VALUE!</v>
      </c>
      <c r="B98" s="1" t="e">
        <f>IF(OR(ISBLANK('Change in Means- Data Input'!C105),ISBLANK('Change in Means- Data Input'!D105)),"",'Change in Means- Data Input'!D105-'Change in Means- Data Input'!C105)</f>
        <v>#VALUE!</v>
      </c>
      <c r="C98" s="1" t="e">
        <f>IF(OR(ISBLANK('Change in Means- Data Input'!E105),ISBLANK('Change in Means- Data Input'!F105)),"",'Change in Means- Data Input'!F105-'Change in Means- Data Input'!E105)</f>
        <v>#VALUE!</v>
      </c>
      <c r="D98" s="1" t="e">
        <f>IF(OR(ISBLANK('Change in Means- Data Input'!G105),ISBLANK('Change in Means- Data Input'!H105)),"",'Change in Means- Data Input'!H105-'Change in Means- Data Input'!G105)</f>
        <v>#VALUE!</v>
      </c>
      <c r="E98" s="1" t="e">
        <f>IF(OR(ISBLANK('Change in Means- Data Input'!I105),ISBLANK('Change in Means- Data Input'!J105)),"",'Change in Means- Data Input'!J105-'Change in Means- Data Input'!I105)</f>
        <v>#VALUE!</v>
      </c>
      <c r="F98" s="1" t="e">
        <f>IF(OR(ISBLANK('Change in Means- Data Input'!K105),ISBLANK('Change in Means- Data Input'!L105)),"",'Change in Means- Data Input'!L105-'Change in Means- Data Input'!K105)</f>
        <v>#VALUE!</v>
      </c>
      <c r="G98" s="17" t="e">
        <f>IF(OR(ISBLANK('Change in Means- Data Input'!M105),ISBLANK('Change in Means- Data Input'!N105)),"",'Change in Means- Data Input'!N105-'Change in Means- Data Input'!M105)</f>
        <v>#VALUE!</v>
      </c>
      <c r="H98" s="17" t="e">
        <f>IF(OR(ISBLANK('Change in Means- Data Input'!O105),ISBLANK('Change in Means- Data Input'!P105)),"",'Change in Means- Data Input'!P105-'Change in Means- Data Input'!O105)</f>
        <v>#VALUE!</v>
      </c>
      <c r="I98" s="17" t="e">
        <f>IF(OR(ISBLANK('Change in Means- Data Input'!Q105),ISBLANK('Change in Means- Data Input'!R105)),"",'Change in Means- Data Input'!R105-'Change in Means- Data Input'!Q105)</f>
        <v>#VALUE!</v>
      </c>
      <c r="J98" s="17" t="e">
        <f>IF(OR(ISBLANK('Change in Means- Data Input'!S105),ISBLANK('Change in Means- Data Input'!T105)),"",'Change in Means- Data Input'!T105-'Change in Means- Data Input'!S105)</f>
        <v>#VALUE!</v>
      </c>
      <c r="K98" s="1" t="str">
        <f>IF('Change in Means- Data Input'!A105="NA","NULL",COUNTIF('Change in Means- Data Input'!A105,"&gt;=3")+COUNTIF('Change in Means- Data Input'!C105,"&gt;=3")+COUNTIF('Change in Means- Data Input'!E105,"&gt;=3")+COUNTIF('Change in Means- Data Input'!G105,"&gt;=3")+COUNTIF('Change in Means- Data Input'!I105,"&gt;=3")+COUNTIF('Change in Means- Data Input'!K105,"&gt;=3")+COUNTIF('Change in Means- Data Input'!M105,"&gt;=3")+COUNTIF('Change in Means- Data Input'!O105,"&gt;=3")+COUNTIF('Change in Means- Data Input'!Q105,"&gt;=3")+COUNTIF('Change in Means- Data Input'!S105,"&gt;=3"))</f>
        <v>NULL</v>
      </c>
      <c r="L98" s="1" t="str">
        <f>IF('Change in Means- Data Input'!B105="NA","NULL",COUNTIF('Change in Means- Data Input'!B105,"&gt;=3")+COUNTIF('Change in Means- Data Input'!D105,"&gt;=3")+COUNTIF('Change in Means- Data Input'!F105,"&gt;=3")+COUNTIF('Change in Means- Data Input'!H105,"&gt;=3")+COUNTIF('Change in Means- Data Input'!J105,"&gt;=3")+COUNTIF('Change in Means- Data Input'!L105,"&gt;=3")+COUNTIF('Change in Means- Data Input'!N105,"&gt;=3")+COUNTIF('Change in Means- Data Input'!P105,"&gt;=3")+COUNTIF('Change in Means- Data Input'!R105,"&gt;=3")+COUNTIF('Change in Means- Data Input'!T105,"&gt;=3"))</f>
        <v>NULL</v>
      </c>
      <c r="M98" s="1" t="str">
        <f>IF(Table37[[#This Row],[Pre]]="NULL","NULL",IF(COUNTIF(A98:J98,"&gt;0"),"Yes","No"))</f>
        <v>NULL</v>
      </c>
    </row>
    <row r="99" spans="1:13" x14ac:dyDescent="0.2">
      <c r="A99" s="17" t="e">
        <f>IF(OR(ISBLANK('Change in Means- Data Input'!A106), ISBLANK('Change in Means- Data Input'!B106)),"", 'Change in Means- Data Input'!B106-'Change in Means- Data Input'!A106)</f>
        <v>#VALUE!</v>
      </c>
      <c r="B99" s="1" t="e">
        <f>IF(OR(ISBLANK('Change in Means- Data Input'!C106),ISBLANK('Change in Means- Data Input'!D106)),"",'Change in Means- Data Input'!D106-'Change in Means- Data Input'!C106)</f>
        <v>#VALUE!</v>
      </c>
      <c r="C99" s="1" t="e">
        <f>IF(OR(ISBLANK('Change in Means- Data Input'!E106),ISBLANK('Change in Means- Data Input'!F106)),"",'Change in Means- Data Input'!F106-'Change in Means- Data Input'!E106)</f>
        <v>#VALUE!</v>
      </c>
      <c r="D99" s="1" t="e">
        <f>IF(OR(ISBLANK('Change in Means- Data Input'!G106),ISBLANK('Change in Means- Data Input'!H106)),"",'Change in Means- Data Input'!H106-'Change in Means- Data Input'!G106)</f>
        <v>#VALUE!</v>
      </c>
      <c r="E99" s="1" t="e">
        <f>IF(OR(ISBLANK('Change in Means- Data Input'!I106),ISBLANK('Change in Means- Data Input'!J106)),"",'Change in Means- Data Input'!J106-'Change in Means- Data Input'!I106)</f>
        <v>#VALUE!</v>
      </c>
      <c r="F99" s="1" t="e">
        <f>IF(OR(ISBLANK('Change in Means- Data Input'!K106),ISBLANK('Change in Means- Data Input'!L106)),"",'Change in Means- Data Input'!L106-'Change in Means- Data Input'!K106)</f>
        <v>#VALUE!</v>
      </c>
      <c r="G99" s="17" t="e">
        <f>IF(OR(ISBLANK('Change in Means- Data Input'!M106),ISBLANK('Change in Means- Data Input'!N106)),"",'Change in Means- Data Input'!N106-'Change in Means- Data Input'!M106)</f>
        <v>#VALUE!</v>
      </c>
      <c r="H99" s="17" t="e">
        <f>IF(OR(ISBLANK('Change in Means- Data Input'!O106),ISBLANK('Change in Means- Data Input'!P106)),"",'Change in Means- Data Input'!P106-'Change in Means- Data Input'!O106)</f>
        <v>#VALUE!</v>
      </c>
      <c r="I99" s="17" t="e">
        <f>IF(OR(ISBLANK('Change in Means- Data Input'!Q106),ISBLANK('Change in Means- Data Input'!R106)),"",'Change in Means- Data Input'!R106-'Change in Means- Data Input'!Q106)</f>
        <v>#VALUE!</v>
      </c>
      <c r="J99" s="17" t="e">
        <f>IF(OR(ISBLANK('Change in Means- Data Input'!S106),ISBLANK('Change in Means- Data Input'!T106)),"",'Change in Means- Data Input'!T106-'Change in Means- Data Input'!S106)</f>
        <v>#VALUE!</v>
      </c>
      <c r="K99" s="1" t="str">
        <f>IF('Change in Means- Data Input'!A106="NA","NULL",COUNTIF('Change in Means- Data Input'!A106,"&gt;=3")+COUNTIF('Change in Means- Data Input'!C106,"&gt;=3")+COUNTIF('Change in Means- Data Input'!E106,"&gt;=3")+COUNTIF('Change in Means- Data Input'!G106,"&gt;=3")+COUNTIF('Change in Means- Data Input'!I106,"&gt;=3")+COUNTIF('Change in Means- Data Input'!K106,"&gt;=3")+COUNTIF('Change in Means- Data Input'!M106,"&gt;=3")+COUNTIF('Change in Means- Data Input'!O106,"&gt;=3")+COUNTIF('Change in Means- Data Input'!Q106,"&gt;=3")+COUNTIF('Change in Means- Data Input'!S106,"&gt;=3"))</f>
        <v>NULL</v>
      </c>
      <c r="L99" s="1" t="str">
        <f>IF('Change in Means- Data Input'!B106="NA","NULL",COUNTIF('Change in Means- Data Input'!B106,"&gt;=3")+COUNTIF('Change in Means- Data Input'!D106,"&gt;=3")+COUNTIF('Change in Means- Data Input'!F106,"&gt;=3")+COUNTIF('Change in Means- Data Input'!H106,"&gt;=3")+COUNTIF('Change in Means- Data Input'!J106,"&gt;=3")+COUNTIF('Change in Means- Data Input'!L106,"&gt;=3")+COUNTIF('Change in Means- Data Input'!N106,"&gt;=3")+COUNTIF('Change in Means- Data Input'!P106,"&gt;=3")+COUNTIF('Change in Means- Data Input'!R106,"&gt;=3")+COUNTIF('Change in Means- Data Input'!T106,"&gt;=3"))</f>
        <v>NULL</v>
      </c>
      <c r="M99" s="1" t="str">
        <f>IF(Table37[[#This Row],[Pre]]="NULL","NULL",IF(COUNTIF(A99:J99,"&gt;0"),"Yes","No"))</f>
        <v>NULL</v>
      </c>
    </row>
    <row r="100" spans="1:13" x14ac:dyDescent="0.2">
      <c r="A100" s="17" t="e">
        <f>IF(OR(ISBLANK('Change in Means- Data Input'!A107), ISBLANK('Change in Means- Data Input'!B107)),"", 'Change in Means- Data Input'!B107-'Change in Means- Data Input'!A107)</f>
        <v>#VALUE!</v>
      </c>
      <c r="B100" s="1" t="e">
        <f>IF(OR(ISBLANK('Change in Means- Data Input'!C107),ISBLANK('Change in Means- Data Input'!D107)),"",'Change in Means- Data Input'!D107-'Change in Means- Data Input'!C107)</f>
        <v>#VALUE!</v>
      </c>
      <c r="C100" s="1" t="e">
        <f>IF(OR(ISBLANK('Change in Means- Data Input'!E107),ISBLANK('Change in Means- Data Input'!F107)),"",'Change in Means- Data Input'!F107-'Change in Means- Data Input'!E107)</f>
        <v>#VALUE!</v>
      </c>
      <c r="D100" s="1" t="e">
        <f>IF(OR(ISBLANK('Change in Means- Data Input'!G107),ISBLANK('Change in Means- Data Input'!H107)),"",'Change in Means- Data Input'!H107-'Change in Means- Data Input'!G107)</f>
        <v>#VALUE!</v>
      </c>
      <c r="E100" s="1" t="e">
        <f>IF(OR(ISBLANK('Change in Means- Data Input'!I107),ISBLANK('Change in Means- Data Input'!J107)),"",'Change in Means- Data Input'!J107-'Change in Means- Data Input'!I107)</f>
        <v>#VALUE!</v>
      </c>
      <c r="F100" s="1" t="e">
        <f>IF(OR(ISBLANK('Change in Means- Data Input'!K107),ISBLANK('Change in Means- Data Input'!L107)),"",'Change in Means- Data Input'!L107-'Change in Means- Data Input'!K107)</f>
        <v>#VALUE!</v>
      </c>
      <c r="G100" s="17" t="e">
        <f>IF(OR(ISBLANK('Change in Means- Data Input'!M107),ISBLANK('Change in Means- Data Input'!N107)),"",'Change in Means- Data Input'!N107-'Change in Means- Data Input'!M107)</f>
        <v>#VALUE!</v>
      </c>
      <c r="H100" s="17" t="e">
        <f>IF(OR(ISBLANK('Change in Means- Data Input'!O107),ISBLANK('Change in Means- Data Input'!P107)),"",'Change in Means- Data Input'!P107-'Change in Means- Data Input'!O107)</f>
        <v>#VALUE!</v>
      </c>
      <c r="I100" s="17" t="e">
        <f>IF(OR(ISBLANK('Change in Means- Data Input'!Q107),ISBLANK('Change in Means- Data Input'!R107)),"",'Change in Means- Data Input'!R107-'Change in Means- Data Input'!Q107)</f>
        <v>#VALUE!</v>
      </c>
      <c r="J100" s="17" t="e">
        <f>IF(OR(ISBLANK('Change in Means- Data Input'!S107),ISBLANK('Change in Means- Data Input'!T107)),"",'Change in Means- Data Input'!T107-'Change in Means- Data Input'!S107)</f>
        <v>#VALUE!</v>
      </c>
      <c r="K100" s="1" t="str">
        <f>IF('Change in Means- Data Input'!A107="NA","NULL",COUNTIF('Change in Means- Data Input'!A107,"&gt;=3")+COUNTIF('Change in Means- Data Input'!C107,"&gt;=3")+COUNTIF('Change in Means- Data Input'!E107,"&gt;=3")+COUNTIF('Change in Means- Data Input'!G107,"&gt;=3")+COUNTIF('Change in Means- Data Input'!I107,"&gt;=3")+COUNTIF('Change in Means- Data Input'!K107,"&gt;=3")+COUNTIF('Change in Means- Data Input'!M107,"&gt;=3")+COUNTIF('Change in Means- Data Input'!O107,"&gt;=3")+COUNTIF('Change in Means- Data Input'!Q107,"&gt;=3")+COUNTIF('Change in Means- Data Input'!S107,"&gt;=3"))</f>
        <v>NULL</v>
      </c>
      <c r="L100" s="1" t="str">
        <f>IF('Change in Means- Data Input'!B107="NA","NULL",COUNTIF('Change in Means- Data Input'!B107,"&gt;=3")+COUNTIF('Change in Means- Data Input'!D107,"&gt;=3")+COUNTIF('Change in Means- Data Input'!F107,"&gt;=3")+COUNTIF('Change in Means- Data Input'!H107,"&gt;=3")+COUNTIF('Change in Means- Data Input'!J107,"&gt;=3")+COUNTIF('Change in Means- Data Input'!L107,"&gt;=3")+COUNTIF('Change in Means- Data Input'!N107,"&gt;=3")+COUNTIF('Change in Means- Data Input'!P107,"&gt;=3")+COUNTIF('Change in Means- Data Input'!R107,"&gt;=3")+COUNTIF('Change in Means- Data Input'!T107,"&gt;=3"))</f>
        <v>NULL</v>
      </c>
      <c r="M100" s="1" t="str">
        <f>IF(Table37[[#This Row],[Pre]]="NULL","NULL",IF(COUNTIF(A100:J100,"&gt;0"),"Yes","No"))</f>
        <v>NULL</v>
      </c>
    </row>
    <row r="101" spans="1:13" x14ac:dyDescent="0.2">
      <c r="A101" s="17" t="e">
        <f>IF(OR(ISBLANK('Change in Means- Data Input'!A108), ISBLANK('Change in Means- Data Input'!B108)),"", 'Change in Means- Data Input'!B108-'Change in Means- Data Input'!A108)</f>
        <v>#VALUE!</v>
      </c>
      <c r="B101" s="1" t="e">
        <f>IF(OR(ISBLANK('Change in Means- Data Input'!C108),ISBLANK('Change in Means- Data Input'!D108)),"",'Change in Means- Data Input'!D108-'Change in Means- Data Input'!C108)</f>
        <v>#VALUE!</v>
      </c>
      <c r="C101" s="1" t="e">
        <f>IF(OR(ISBLANK('Change in Means- Data Input'!E108),ISBLANK('Change in Means- Data Input'!F108)),"",'Change in Means- Data Input'!F108-'Change in Means- Data Input'!E108)</f>
        <v>#VALUE!</v>
      </c>
      <c r="D101" s="1" t="e">
        <f>IF(OR(ISBLANK('Change in Means- Data Input'!G108),ISBLANK('Change in Means- Data Input'!H108)),"",'Change in Means- Data Input'!H108-'Change in Means- Data Input'!G108)</f>
        <v>#VALUE!</v>
      </c>
      <c r="E101" s="1" t="e">
        <f>IF(OR(ISBLANK('Change in Means- Data Input'!I108),ISBLANK('Change in Means- Data Input'!J108)),"",'Change in Means- Data Input'!J108-'Change in Means- Data Input'!I108)</f>
        <v>#VALUE!</v>
      </c>
      <c r="F101" s="1" t="e">
        <f>IF(OR(ISBLANK('Change in Means- Data Input'!K108),ISBLANK('Change in Means- Data Input'!L108)),"",'Change in Means- Data Input'!L108-'Change in Means- Data Input'!K108)</f>
        <v>#VALUE!</v>
      </c>
      <c r="G101" s="17" t="e">
        <f>IF(OR(ISBLANK('Change in Means- Data Input'!M108),ISBLANK('Change in Means- Data Input'!N108)),"",'Change in Means- Data Input'!N108-'Change in Means- Data Input'!M108)</f>
        <v>#VALUE!</v>
      </c>
      <c r="H101" s="17" t="e">
        <f>IF(OR(ISBLANK('Change in Means- Data Input'!O108),ISBLANK('Change in Means- Data Input'!P108)),"",'Change in Means- Data Input'!P108-'Change in Means- Data Input'!O108)</f>
        <v>#VALUE!</v>
      </c>
      <c r="I101" s="17" t="e">
        <f>IF(OR(ISBLANK('Change in Means- Data Input'!Q108),ISBLANK('Change in Means- Data Input'!R108)),"",'Change in Means- Data Input'!R108-'Change in Means- Data Input'!Q108)</f>
        <v>#VALUE!</v>
      </c>
      <c r="J101" s="17" t="e">
        <f>IF(OR(ISBLANK('Change in Means- Data Input'!S108),ISBLANK('Change in Means- Data Input'!T108)),"",'Change in Means- Data Input'!T108-'Change in Means- Data Input'!S108)</f>
        <v>#VALUE!</v>
      </c>
      <c r="K101" s="1" t="str">
        <f>IF('Change in Means- Data Input'!A108="NA","NULL",COUNTIF('Change in Means- Data Input'!A108,"&gt;=3")+COUNTIF('Change in Means- Data Input'!C108,"&gt;=3")+COUNTIF('Change in Means- Data Input'!E108,"&gt;=3")+COUNTIF('Change in Means- Data Input'!G108,"&gt;=3")+COUNTIF('Change in Means- Data Input'!I108,"&gt;=3")+COUNTIF('Change in Means- Data Input'!K108,"&gt;=3")+COUNTIF('Change in Means- Data Input'!M108,"&gt;=3")+COUNTIF('Change in Means- Data Input'!O108,"&gt;=3")+COUNTIF('Change in Means- Data Input'!Q108,"&gt;=3")+COUNTIF('Change in Means- Data Input'!S108,"&gt;=3"))</f>
        <v>NULL</v>
      </c>
      <c r="L101" s="1" t="str">
        <f>IF('Change in Means- Data Input'!B108="NA","NULL",COUNTIF('Change in Means- Data Input'!B108,"&gt;=3")+COUNTIF('Change in Means- Data Input'!D108,"&gt;=3")+COUNTIF('Change in Means- Data Input'!F108,"&gt;=3")+COUNTIF('Change in Means- Data Input'!H108,"&gt;=3")+COUNTIF('Change in Means- Data Input'!J108,"&gt;=3")+COUNTIF('Change in Means- Data Input'!L108,"&gt;=3")+COUNTIF('Change in Means- Data Input'!N108,"&gt;=3")+COUNTIF('Change in Means- Data Input'!P108,"&gt;=3")+COUNTIF('Change in Means- Data Input'!R108,"&gt;=3")+COUNTIF('Change in Means- Data Input'!T108,"&gt;=3"))</f>
        <v>NULL</v>
      </c>
      <c r="M101" s="1" t="str">
        <f>IF(Table37[[#This Row],[Pre]]="NULL","NULL",IF(COUNTIF(A101:J101,"&gt;0"),"Yes","No"))</f>
        <v>NULL</v>
      </c>
    </row>
    <row r="102" spans="1:13" x14ac:dyDescent="0.2">
      <c r="A102" s="1" t="e">
        <f>IF(OR(ISBLANK('Change in Means- Data Input'!A109), ISBLANK('Change in Means- Data Input'!B109)),"", 'Change in Means- Data Input'!B109-'Change in Means- Data Input'!A109)</f>
        <v>#VALUE!</v>
      </c>
      <c r="B102" s="1" t="e">
        <f>IF(OR(ISBLANK('Change in Means- Data Input'!C109),ISBLANK('Change in Means- Data Input'!D109)),"",'Change in Means- Data Input'!D109-'Change in Means- Data Input'!C109)</f>
        <v>#VALUE!</v>
      </c>
      <c r="C102" s="1" t="e">
        <f>IF(OR(ISBLANK('Change in Means- Data Input'!E109),ISBLANK('Change in Means- Data Input'!F109)),"",'Change in Means- Data Input'!F109-'Change in Means- Data Input'!E109)</f>
        <v>#VALUE!</v>
      </c>
      <c r="D102" s="1" t="e">
        <f>IF(OR(ISBLANK('Change in Means- Data Input'!G109),ISBLANK('Change in Means- Data Input'!H109)),"",'Change in Means- Data Input'!H109-'Change in Means- Data Input'!G109)</f>
        <v>#VALUE!</v>
      </c>
      <c r="E102" s="1" t="e">
        <f>IF(OR(ISBLANK('Change in Means- Data Input'!I109),ISBLANK('Change in Means- Data Input'!J109)),"",'Change in Means- Data Input'!J109-'Change in Means- Data Input'!I109)</f>
        <v>#VALUE!</v>
      </c>
      <c r="F102" s="1" t="e">
        <f>IF(OR(ISBLANK('Change in Means- Data Input'!K109),ISBLANK('Change in Means- Data Input'!L109)),"",'Change in Means- Data Input'!L109-'Change in Means- Data Input'!K109)</f>
        <v>#VALUE!</v>
      </c>
      <c r="G102" s="1" t="e">
        <f>IF(OR(ISBLANK('Change in Means- Data Input'!M109),ISBLANK('Change in Means- Data Input'!N109)),"",'Change in Means- Data Input'!N109-'Change in Means- Data Input'!M109)</f>
        <v>#VALUE!</v>
      </c>
      <c r="H102" s="1" t="e">
        <f>IF(OR(ISBLANK('Change in Means- Data Input'!O109),ISBLANK('Change in Means- Data Input'!P109)),"",'Change in Means- Data Input'!P109-'Change in Means- Data Input'!O109)</f>
        <v>#VALUE!</v>
      </c>
      <c r="I102" s="1" t="e">
        <f>IF(OR(ISBLANK('Change in Means- Data Input'!Q109),ISBLANK('Change in Means- Data Input'!R109)),"",'Change in Means- Data Input'!R109-'Change in Means- Data Input'!Q109)</f>
        <v>#VALUE!</v>
      </c>
      <c r="J102" s="1" t="e">
        <f>IF(OR(ISBLANK('Change in Means- Data Input'!S109),ISBLANK('Change in Means- Data Input'!T109)),"",'Change in Means- Data Input'!T109-'Change in Means- Data Input'!S109)</f>
        <v>#VALUE!</v>
      </c>
      <c r="K102" s="1" t="str">
        <f>IF('Change in Means- Data Input'!A109="NA","NULL",COUNTIF('Change in Means- Data Input'!A109,"&gt;=3")+COUNTIF('Change in Means- Data Input'!C109,"&gt;=3")+COUNTIF('Change in Means- Data Input'!E109,"&gt;=3")+COUNTIF('Change in Means- Data Input'!G109,"&gt;=3")+COUNTIF('Change in Means- Data Input'!I109,"&gt;=3")+COUNTIF('Change in Means- Data Input'!K109,"&gt;=3")+COUNTIF('Change in Means- Data Input'!M109,"&gt;=3")+COUNTIF('Change in Means- Data Input'!O109,"&gt;=3")+COUNTIF('Change in Means- Data Input'!Q109,"&gt;=3")+COUNTIF('Change in Means- Data Input'!S109,"&gt;=3"))</f>
        <v>NULL</v>
      </c>
      <c r="L102" s="1" t="str">
        <f>IF('Change in Means- Data Input'!B109="NA","NULL",COUNTIF('Change in Means- Data Input'!B109,"&gt;=3")+COUNTIF('Change in Means- Data Input'!D109,"&gt;=3")+COUNTIF('Change in Means- Data Input'!F109,"&gt;=3")+COUNTIF('Change in Means- Data Input'!H109,"&gt;=3")+COUNTIF('Change in Means- Data Input'!J109,"&gt;=3")+COUNTIF('Change in Means- Data Input'!L109,"&gt;=3")+COUNTIF('Change in Means- Data Input'!N109,"&gt;=3")+COUNTIF('Change in Means- Data Input'!P109,"&gt;=3")+COUNTIF('Change in Means- Data Input'!R109,"&gt;=3")+COUNTIF('Change in Means- Data Input'!T109,"&gt;=3"))</f>
        <v>NULL</v>
      </c>
      <c r="M102" s="1" t="str">
        <f>IF(Table37[[#This Row],[Pre]]="NULL","NULL",IF(COUNTIF(A102:J102,"&gt;0"),"Yes","No"))</f>
        <v>NULL</v>
      </c>
    </row>
  </sheetData>
  <sheetProtection algorithmName="SHA-512" hashValue="i/rXe+EiueYVWII3tArD02D4vMO1G0Nm9cu8t7VBoGI+F5Qq1qIzU8hM8A4en9Z6rp3BaziHlGPRt8VJv0xjNQ==" saltValue="5Lr62N/pWDDWu+Qr1Oeupw==" spinCount="100000" sheet="1" objects="1" scenarios="1"/>
  <mergeCells count="16">
    <mergeCell ref="T18:U18"/>
    <mergeCell ref="T19:U20"/>
    <mergeCell ref="V19:V20"/>
    <mergeCell ref="W19:W20"/>
    <mergeCell ref="T17:W17"/>
    <mergeCell ref="T2:T3"/>
    <mergeCell ref="T1:X1"/>
    <mergeCell ref="U2:U3"/>
    <mergeCell ref="V2:V3"/>
    <mergeCell ref="W2:W3"/>
    <mergeCell ref="X2:X3"/>
    <mergeCell ref="A1:F1"/>
    <mergeCell ref="O1:R1"/>
    <mergeCell ref="K1:L1"/>
    <mergeCell ref="O34:R34"/>
    <mergeCell ref="O17:R17"/>
  </mergeCells>
  <phoneticPr fontId="4" type="noConversion"/>
  <pageMargins left="0.7" right="0.7" top="0.75" bottom="0.75" header="0.3" footer="0.3"/>
  <tableParts count="14">
    <tablePart r:id="rId1"/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A562F3-C89B-4146-9A03-FA183B6EDCE6}">
  <dimension ref="A1:BQ52"/>
  <sheetViews>
    <sheetView zoomScale="120" zoomScaleNormal="120" workbookViewId="0">
      <selection activeCell="BS10" sqref="BS10"/>
    </sheetView>
  </sheetViews>
  <sheetFormatPr baseColWidth="10" defaultColWidth="11.5" defaultRowHeight="15" x14ac:dyDescent="0.2"/>
  <cols>
    <col min="1" max="1" width="9.1640625" customWidth="1"/>
    <col min="2" max="2" width="22.83203125" customWidth="1"/>
    <col min="5" max="5" width="12.5" customWidth="1"/>
    <col min="6" max="6" width="16.1640625" customWidth="1"/>
    <col min="8" max="8" width="9.1640625" customWidth="1"/>
    <col min="9" max="9" width="22.83203125" customWidth="1"/>
    <col min="12" max="12" width="12.5" customWidth="1"/>
    <col min="13" max="13" width="16.1640625" customWidth="1"/>
    <col min="15" max="15" width="9.1640625" customWidth="1"/>
    <col min="16" max="16" width="22.83203125" customWidth="1"/>
    <col min="19" max="19" width="12.5" customWidth="1"/>
    <col min="20" max="20" width="16.1640625" customWidth="1"/>
    <col min="22" max="22" width="9.1640625" customWidth="1"/>
    <col min="23" max="23" width="22.83203125" customWidth="1"/>
    <col min="26" max="26" width="12.5" customWidth="1"/>
    <col min="27" max="27" width="16.1640625" customWidth="1"/>
    <col min="29" max="29" width="9.1640625" customWidth="1"/>
    <col min="30" max="30" width="22.83203125" customWidth="1"/>
    <col min="33" max="33" width="12.5" customWidth="1"/>
    <col min="34" max="34" width="16.1640625" customWidth="1"/>
    <col min="36" max="36" width="9.1640625" customWidth="1"/>
    <col min="37" max="37" width="22.83203125" customWidth="1"/>
    <col min="40" max="40" width="12.5" customWidth="1"/>
    <col min="41" max="41" width="16.1640625" customWidth="1"/>
    <col min="43" max="43" width="9.1640625" customWidth="1"/>
    <col min="44" max="44" width="22.83203125" customWidth="1"/>
    <col min="47" max="47" width="12.5" customWidth="1"/>
    <col min="48" max="48" width="16.1640625" customWidth="1"/>
    <col min="50" max="50" width="9.1640625" customWidth="1"/>
    <col min="51" max="51" width="22.83203125" customWidth="1"/>
    <col min="54" max="54" width="12.5" customWidth="1"/>
    <col min="55" max="55" width="16.1640625" customWidth="1"/>
    <col min="57" max="57" width="9.1640625" customWidth="1"/>
    <col min="58" max="58" width="22.83203125" customWidth="1"/>
    <col min="61" max="61" width="12.5" customWidth="1"/>
    <col min="62" max="62" width="16.1640625" customWidth="1"/>
    <col min="64" max="64" width="9.1640625" customWidth="1"/>
    <col min="65" max="65" width="22.83203125" customWidth="1"/>
    <col min="68" max="68" width="12.5" customWidth="1"/>
    <col min="69" max="69" width="16.1640625" customWidth="1"/>
  </cols>
  <sheetData>
    <row r="1" spans="1:69" ht="19" x14ac:dyDescent="0.25">
      <c r="A1" s="126" t="s">
        <v>57</v>
      </c>
      <c r="B1" s="126"/>
      <c r="C1" s="126"/>
      <c r="D1" s="126"/>
      <c r="E1" s="126"/>
      <c r="F1" s="126"/>
      <c r="H1" s="129" t="s">
        <v>58</v>
      </c>
      <c r="I1" s="129"/>
      <c r="J1" s="129"/>
      <c r="K1" s="129"/>
      <c r="L1" s="129"/>
      <c r="M1" s="129"/>
      <c r="O1" s="123" t="s">
        <v>59</v>
      </c>
      <c r="P1" s="123"/>
      <c r="Q1" s="123"/>
      <c r="R1" s="123"/>
      <c r="S1" s="123"/>
      <c r="T1" s="123"/>
      <c r="V1" s="119" t="s">
        <v>60</v>
      </c>
      <c r="W1" s="119"/>
      <c r="X1" s="119"/>
      <c r="Y1" s="119"/>
      <c r="Z1" s="119"/>
      <c r="AA1" s="119"/>
      <c r="AC1" s="131" t="s">
        <v>61</v>
      </c>
      <c r="AD1" s="131"/>
      <c r="AE1" s="131"/>
      <c r="AF1" s="131"/>
      <c r="AG1" s="131"/>
      <c r="AH1" s="131"/>
      <c r="AJ1" s="130" t="s">
        <v>62</v>
      </c>
      <c r="AK1" s="130"/>
      <c r="AL1" s="130"/>
      <c r="AM1" s="130"/>
      <c r="AN1" s="130"/>
      <c r="AO1" s="130"/>
      <c r="AQ1" s="125" t="s">
        <v>127</v>
      </c>
      <c r="AR1" s="125"/>
      <c r="AS1" s="125"/>
      <c r="AT1" s="125"/>
      <c r="AU1" s="125"/>
      <c r="AV1" s="125"/>
      <c r="AX1" s="124" t="s">
        <v>128</v>
      </c>
      <c r="AY1" s="124"/>
      <c r="AZ1" s="124"/>
      <c r="BA1" s="124"/>
      <c r="BB1" s="124"/>
      <c r="BC1" s="124"/>
      <c r="BE1" s="123" t="s">
        <v>129</v>
      </c>
      <c r="BF1" s="123"/>
      <c r="BG1" s="123"/>
      <c r="BH1" s="123"/>
      <c r="BI1" s="123"/>
      <c r="BJ1" s="123"/>
      <c r="BL1" s="119" t="s">
        <v>130</v>
      </c>
      <c r="BM1" s="119"/>
      <c r="BN1" s="119"/>
      <c r="BO1" s="119"/>
      <c r="BP1" s="119"/>
      <c r="BQ1" s="119"/>
    </row>
    <row r="2" spans="1:69" x14ac:dyDescent="0.2">
      <c r="A2" s="120" t="s">
        <v>63</v>
      </c>
      <c r="B2" s="120"/>
      <c r="C2" s="120"/>
      <c r="D2" s="120"/>
      <c r="E2" s="120"/>
      <c r="F2" s="120"/>
      <c r="H2" s="120" t="s">
        <v>63</v>
      </c>
      <c r="I2" s="120"/>
      <c r="J2" s="120"/>
      <c r="K2" s="120"/>
      <c r="L2" s="120"/>
      <c r="M2" s="120"/>
      <c r="O2" s="120" t="s">
        <v>63</v>
      </c>
      <c r="P2" s="120"/>
      <c r="Q2" s="120"/>
      <c r="R2" s="120"/>
      <c r="S2" s="120"/>
      <c r="T2" s="120"/>
      <c r="V2" s="120" t="s">
        <v>63</v>
      </c>
      <c r="W2" s="120"/>
      <c r="X2" s="120"/>
      <c r="Y2" s="120"/>
      <c r="Z2" s="120"/>
      <c r="AA2" s="120"/>
      <c r="AC2" s="120" t="s">
        <v>63</v>
      </c>
      <c r="AD2" s="120"/>
      <c r="AE2" s="120"/>
      <c r="AF2" s="120"/>
      <c r="AG2" s="120"/>
      <c r="AH2" s="120"/>
      <c r="AJ2" s="120" t="s">
        <v>63</v>
      </c>
      <c r="AK2" s="120"/>
      <c r="AL2" s="120"/>
      <c r="AM2" s="120"/>
      <c r="AN2" s="120"/>
      <c r="AO2" s="120"/>
      <c r="AQ2" s="120" t="s">
        <v>63</v>
      </c>
      <c r="AR2" s="120"/>
      <c r="AS2" s="120"/>
      <c r="AT2" s="120"/>
      <c r="AU2" s="120"/>
      <c r="AV2" s="120"/>
      <c r="AX2" s="120" t="s">
        <v>63</v>
      </c>
      <c r="AY2" s="120"/>
      <c r="AZ2" s="120"/>
      <c r="BA2" s="120"/>
      <c r="BB2" s="120"/>
      <c r="BC2" s="120"/>
      <c r="BE2" s="120" t="s">
        <v>63</v>
      </c>
      <c r="BF2" s="120"/>
      <c r="BG2" s="120"/>
      <c r="BH2" s="120"/>
      <c r="BI2" s="120"/>
      <c r="BJ2" s="120"/>
      <c r="BL2" s="120" t="s">
        <v>63</v>
      </c>
      <c r="BM2" s="120"/>
      <c r="BN2" s="120"/>
      <c r="BO2" s="120"/>
      <c r="BP2" s="120"/>
      <c r="BQ2" s="120"/>
    </row>
    <row r="3" spans="1:69" x14ac:dyDescent="0.2">
      <c r="A3" s="117"/>
      <c r="B3" s="117"/>
      <c r="C3" s="32" t="s">
        <v>49</v>
      </c>
      <c r="D3" s="32" t="s">
        <v>64</v>
      </c>
      <c r="E3" s="32" t="s">
        <v>50</v>
      </c>
      <c r="F3" s="32" t="s">
        <v>51</v>
      </c>
      <c r="H3" s="117"/>
      <c r="I3" s="117"/>
      <c r="J3" s="32" t="s">
        <v>49</v>
      </c>
      <c r="K3" s="32" t="s">
        <v>64</v>
      </c>
      <c r="L3" s="32" t="s">
        <v>50</v>
      </c>
      <c r="M3" s="32" t="s">
        <v>51</v>
      </c>
      <c r="O3" s="117"/>
      <c r="P3" s="117"/>
      <c r="Q3" s="32" t="s">
        <v>49</v>
      </c>
      <c r="R3" s="32" t="s">
        <v>64</v>
      </c>
      <c r="S3" s="32" t="s">
        <v>50</v>
      </c>
      <c r="T3" s="32" t="s">
        <v>51</v>
      </c>
      <c r="V3" s="117"/>
      <c r="W3" s="117"/>
      <c r="X3" s="32" t="s">
        <v>49</v>
      </c>
      <c r="Y3" s="32" t="s">
        <v>64</v>
      </c>
      <c r="Z3" s="32" t="s">
        <v>50</v>
      </c>
      <c r="AA3" s="32" t="s">
        <v>51</v>
      </c>
      <c r="AC3" s="117"/>
      <c r="AD3" s="117"/>
      <c r="AE3" s="32" t="s">
        <v>49</v>
      </c>
      <c r="AF3" s="32" t="s">
        <v>64</v>
      </c>
      <c r="AG3" s="32" t="s">
        <v>50</v>
      </c>
      <c r="AH3" s="32" t="s">
        <v>51</v>
      </c>
      <c r="AJ3" s="117"/>
      <c r="AK3" s="117"/>
      <c r="AL3" s="32" t="s">
        <v>49</v>
      </c>
      <c r="AM3" s="32" t="s">
        <v>64</v>
      </c>
      <c r="AN3" s="32" t="s">
        <v>50</v>
      </c>
      <c r="AO3" s="32" t="s">
        <v>51</v>
      </c>
      <c r="AQ3" s="117"/>
      <c r="AR3" s="117"/>
      <c r="AS3" s="32" t="s">
        <v>49</v>
      </c>
      <c r="AT3" s="32" t="s">
        <v>64</v>
      </c>
      <c r="AU3" s="32" t="s">
        <v>50</v>
      </c>
      <c r="AV3" s="32" t="s">
        <v>51</v>
      </c>
      <c r="AX3" s="117"/>
      <c r="AY3" s="117"/>
      <c r="AZ3" s="32" t="s">
        <v>49</v>
      </c>
      <c r="BA3" s="32" t="s">
        <v>64</v>
      </c>
      <c r="BB3" s="32" t="s">
        <v>50</v>
      </c>
      <c r="BC3" s="32" t="s">
        <v>51</v>
      </c>
      <c r="BE3" s="117"/>
      <c r="BF3" s="117"/>
      <c r="BG3" s="32" t="s">
        <v>49</v>
      </c>
      <c r="BH3" s="32" t="s">
        <v>64</v>
      </c>
      <c r="BI3" s="32" t="s">
        <v>50</v>
      </c>
      <c r="BJ3" s="32" t="s">
        <v>51</v>
      </c>
      <c r="BL3" s="117"/>
      <c r="BM3" s="117"/>
      <c r="BN3" s="32" t="s">
        <v>49</v>
      </c>
      <c r="BO3" s="32" t="s">
        <v>64</v>
      </c>
      <c r="BP3" s="32" t="s">
        <v>50</v>
      </c>
      <c r="BQ3" s="32" t="s">
        <v>51</v>
      </c>
    </row>
    <row r="4" spans="1:69" x14ac:dyDescent="0.2">
      <c r="A4" s="121" t="s">
        <v>65</v>
      </c>
      <c r="B4" s="33" t="s">
        <v>9</v>
      </c>
      <c r="C4" s="33">
        <f>COUNTIF(Table2[BEFORE - Item 1A],4)</f>
        <v>0</v>
      </c>
      <c r="D4" s="58" t="e">
        <f>C4/C10</f>
        <v>#DIV/0!</v>
      </c>
      <c r="E4" s="60" t="e">
        <f>C4/C8</f>
        <v>#DIV/0!</v>
      </c>
      <c r="F4" s="58" t="e">
        <f>E4</f>
        <v>#DIV/0!</v>
      </c>
      <c r="H4" s="121" t="s">
        <v>65</v>
      </c>
      <c r="I4" s="33" t="s">
        <v>9</v>
      </c>
      <c r="J4" s="33">
        <f>COUNTIF(Table24[BEFORE - Item 1B], 4)</f>
        <v>0</v>
      </c>
      <c r="K4" s="58" t="e">
        <f>J4/J10</f>
        <v>#DIV/0!</v>
      </c>
      <c r="L4" s="60" t="e">
        <f>J4/J8</f>
        <v>#DIV/0!</v>
      </c>
      <c r="M4" s="58" t="e">
        <f>L4</f>
        <v>#DIV/0!</v>
      </c>
      <c r="O4" s="121" t="s">
        <v>65</v>
      </c>
      <c r="P4" s="33" t="s">
        <v>9</v>
      </c>
      <c r="Q4" s="33">
        <f>COUNTIF(Table25[BEFORE - Item 1C], 4)</f>
        <v>0</v>
      </c>
      <c r="R4" s="58" t="e">
        <f>Q4/Q10</f>
        <v>#DIV/0!</v>
      </c>
      <c r="S4" s="60" t="e">
        <f>Q4/Q8</f>
        <v>#DIV/0!</v>
      </c>
      <c r="T4" s="58" t="e">
        <f>S4</f>
        <v>#DIV/0!</v>
      </c>
      <c r="V4" s="121" t="s">
        <v>65</v>
      </c>
      <c r="W4" s="33" t="s">
        <v>9</v>
      </c>
      <c r="X4" s="33">
        <f>COUNTIF(Table26[BEFORE - Item 1D], 4)</f>
        <v>0</v>
      </c>
      <c r="Y4" s="58" t="e">
        <f>X4/X10</f>
        <v>#DIV/0!</v>
      </c>
      <c r="Z4" s="60" t="e">
        <f>X4/X8</f>
        <v>#DIV/0!</v>
      </c>
      <c r="AA4" s="58" t="e">
        <f>Z4</f>
        <v>#DIV/0!</v>
      </c>
      <c r="AC4" s="121" t="s">
        <v>65</v>
      </c>
      <c r="AD4" s="33" t="s">
        <v>9</v>
      </c>
      <c r="AE4" s="33">
        <f>COUNTIF(Table27[BEFORE - Item 1E], 4)</f>
        <v>0</v>
      </c>
      <c r="AF4" s="58" t="e">
        <f>AE4/AE10</f>
        <v>#DIV/0!</v>
      </c>
      <c r="AG4" s="60" t="e">
        <f>AE4/AE8</f>
        <v>#DIV/0!</v>
      </c>
      <c r="AH4" s="58" t="e">
        <f>AG4</f>
        <v>#DIV/0!</v>
      </c>
      <c r="AJ4" s="121" t="s">
        <v>65</v>
      </c>
      <c r="AK4" s="33" t="s">
        <v>9</v>
      </c>
      <c r="AL4" s="33">
        <f>COUNTIF(Table278[BEFORE- Item 1F], 4)</f>
        <v>0</v>
      </c>
      <c r="AM4" s="58" t="e">
        <f>AL4/AL10</f>
        <v>#DIV/0!</v>
      </c>
      <c r="AN4" s="60" t="e">
        <f>AL4/AL8</f>
        <v>#DIV/0!</v>
      </c>
      <c r="AO4" s="58" t="e">
        <f>AN4</f>
        <v>#DIV/0!</v>
      </c>
      <c r="AQ4" s="121" t="s">
        <v>65</v>
      </c>
      <c r="AR4" s="33" t="s">
        <v>9</v>
      </c>
      <c r="AS4" s="33">
        <f>COUNTIF(Table259[BEFORE - Item 1G],4)</f>
        <v>0</v>
      </c>
      <c r="AT4" s="58" t="e">
        <f>AS4/AS10</f>
        <v>#DIV/0!</v>
      </c>
      <c r="AU4" s="60" t="e">
        <f>AS4/AS8</f>
        <v>#DIV/0!</v>
      </c>
      <c r="AV4" s="58" t="e">
        <f>AU4</f>
        <v>#DIV/0!</v>
      </c>
      <c r="AX4" s="121" t="s">
        <v>65</v>
      </c>
      <c r="AY4" s="33" t="s">
        <v>9</v>
      </c>
      <c r="AZ4" s="33">
        <f>COUNTIF(Table2610[BEFORE - Item 1H],4)</f>
        <v>0</v>
      </c>
      <c r="BA4" s="58" t="e">
        <f>AZ4/AZ10</f>
        <v>#DIV/0!</v>
      </c>
      <c r="BB4" s="60" t="e">
        <f>AZ4/AZ8</f>
        <v>#DIV/0!</v>
      </c>
      <c r="BC4" s="58" t="e">
        <f>BB4</f>
        <v>#DIV/0!</v>
      </c>
      <c r="BE4" s="121" t="s">
        <v>65</v>
      </c>
      <c r="BF4" s="33" t="s">
        <v>9</v>
      </c>
      <c r="BG4" s="33">
        <f>COUNTIF(Table2711[BEFORE - Item 1I],4)</f>
        <v>0</v>
      </c>
      <c r="BH4" s="58" t="e">
        <f>BG4/BG10</f>
        <v>#DIV/0!</v>
      </c>
      <c r="BI4" s="60" t="e">
        <f>BG4/BG8</f>
        <v>#DIV/0!</v>
      </c>
      <c r="BJ4" s="58" t="e">
        <f>BI4</f>
        <v>#DIV/0!</v>
      </c>
      <c r="BL4" s="121" t="s">
        <v>65</v>
      </c>
      <c r="BM4" s="33" t="s">
        <v>9</v>
      </c>
      <c r="BN4" s="33">
        <f>COUNTIF(Table27812[BEFORE- Item 1J],4)</f>
        <v>0</v>
      </c>
      <c r="BO4" s="58" t="e">
        <f>BN4/BN10</f>
        <v>#DIV/0!</v>
      </c>
      <c r="BP4" s="60" t="e">
        <f>BN4/BN8</f>
        <v>#DIV/0!</v>
      </c>
      <c r="BQ4" s="58" t="e">
        <f>BP4</f>
        <v>#DIV/0!</v>
      </c>
    </row>
    <row r="5" spans="1:69" x14ac:dyDescent="0.2">
      <c r="A5" s="121"/>
      <c r="B5" s="33" t="s">
        <v>7</v>
      </c>
      <c r="C5" s="33">
        <f>COUNTIF(Table2[BEFORE - Item 1A],3)</f>
        <v>0</v>
      </c>
      <c r="D5" s="58" t="e">
        <f>C5/C10</f>
        <v>#DIV/0!</v>
      </c>
      <c r="E5" s="60" t="e">
        <f>C5/C8</f>
        <v>#DIV/0!</v>
      </c>
      <c r="F5" s="58" t="e">
        <f>F4+E5</f>
        <v>#DIV/0!</v>
      </c>
      <c r="H5" s="121"/>
      <c r="I5" s="33" t="s">
        <v>7</v>
      </c>
      <c r="J5" s="33">
        <f>COUNTIF(Table24[BEFORE - Item 1B], 3)</f>
        <v>0</v>
      </c>
      <c r="K5" s="58" t="e">
        <f>J5/J10</f>
        <v>#DIV/0!</v>
      </c>
      <c r="L5" s="60" t="e">
        <f>J5/J8</f>
        <v>#DIV/0!</v>
      </c>
      <c r="M5" s="58" t="e">
        <f>M4+L5</f>
        <v>#DIV/0!</v>
      </c>
      <c r="O5" s="121"/>
      <c r="P5" s="33" t="s">
        <v>7</v>
      </c>
      <c r="Q5" s="33">
        <f>COUNTIF(Table25[BEFORE - Item 1C], 3)</f>
        <v>0</v>
      </c>
      <c r="R5" s="58" t="e">
        <f>Q5/Q10</f>
        <v>#DIV/0!</v>
      </c>
      <c r="S5" s="60" t="e">
        <f>Q5/Q8</f>
        <v>#DIV/0!</v>
      </c>
      <c r="T5" s="58" t="e">
        <f>T4+S5</f>
        <v>#DIV/0!</v>
      </c>
      <c r="V5" s="121"/>
      <c r="W5" s="33" t="s">
        <v>7</v>
      </c>
      <c r="X5" s="33">
        <f>COUNTIF(Table26[BEFORE - Item 1D], 3)</f>
        <v>0</v>
      </c>
      <c r="Y5" s="58" t="e">
        <f>X5/X10</f>
        <v>#DIV/0!</v>
      </c>
      <c r="Z5" s="60" t="e">
        <f>X5/X8</f>
        <v>#DIV/0!</v>
      </c>
      <c r="AA5" s="58" t="e">
        <f>AA4+Z5</f>
        <v>#DIV/0!</v>
      </c>
      <c r="AC5" s="121"/>
      <c r="AD5" s="33" t="s">
        <v>7</v>
      </c>
      <c r="AE5" s="33">
        <f>COUNTIF(Table27[BEFORE - Item 1E], 3)</f>
        <v>0</v>
      </c>
      <c r="AF5" s="58" t="e">
        <f>AE5/AE10</f>
        <v>#DIV/0!</v>
      </c>
      <c r="AG5" s="60" t="e">
        <f>AE5/AE8</f>
        <v>#DIV/0!</v>
      </c>
      <c r="AH5" s="58" t="e">
        <f>AH4+AG5</f>
        <v>#DIV/0!</v>
      </c>
      <c r="AJ5" s="121"/>
      <c r="AK5" s="33" t="s">
        <v>7</v>
      </c>
      <c r="AL5" s="33">
        <f>COUNTIF(Table278[BEFORE- Item 1F], 3)</f>
        <v>0</v>
      </c>
      <c r="AM5" s="58" t="e">
        <f>AL5/AL10</f>
        <v>#DIV/0!</v>
      </c>
      <c r="AN5" s="60" t="e">
        <f>AL5/AL8</f>
        <v>#DIV/0!</v>
      </c>
      <c r="AO5" s="58" t="e">
        <f>AO4+AN5</f>
        <v>#DIV/0!</v>
      </c>
      <c r="AQ5" s="121"/>
      <c r="AR5" s="33" t="s">
        <v>7</v>
      </c>
      <c r="AS5" s="33">
        <f>COUNTIF(Table259[BEFORE - Item 1G],3)</f>
        <v>0</v>
      </c>
      <c r="AT5" s="58" t="e">
        <f>AS5/AS10</f>
        <v>#DIV/0!</v>
      </c>
      <c r="AU5" s="60" t="e">
        <f>AS5/AS8</f>
        <v>#DIV/0!</v>
      </c>
      <c r="AV5" s="58" t="e">
        <f>AV4+AU5</f>
        <v>#DIV/0!</v>
      </c>
      <c r="AX5" s="121"/>
      <c r="AY5" s="33" t="s">
        <v>7</v>
      </c>
      <c r="AZ5" s="33">
        <f>COUNTIF(Table2610[BEFORE - Item 1H],3)</f>
        <v>0</v>
      </c>
      <c r="BA5" s="58" t="e">
        <f>AZ5/AZ10</f>
        <v>#DIV/0!</v>
      </c>
      <c r="BB5" s="60" t="e">
        <f>AZ5/AZ8</f>
        <v>#DIV/0!</v>
      </c>
      <c r="BC5" s="58" t="e">
        <f>BC4+BB5</f>
        <v>#DIV/0!</v>
      </c>
      <c r="BE5" s="121"/>
      <c r="BF5" s="33" t="s">
        <v>7</v>
      </c>
      <c r="BG5" s="33">
        <f>COUNTIF(Table2711[BEFORE - Item 1I],3)</f>
        <v>0</v>
      </c>
      <c r="BH5" s="58" t="e">
        <f>BG5/BG10</f>
        <v>#DIV/0!</v>
      </c>
      <c r="BI5" s="60" t="e">
        <f>BG5/BG8</f>
        <v>#DIV/0!</v>
      </c>
      <c r="BJ5" s="58" t="e">
        <f>BJ4+BI5</f>
        <v>#DIV/0!</v>
      </c>
      <c r="BL5" s="121"/>
      <c r="BM5" s="33" t="s">
        <v>7</v>
      </c>
      <c r="BN5" s="33">
        <f>COUNTIF(Table27812[BEFORE- Item 1J],3)</f>
        <v>0</v>
      </c>
      <c r="BO5" s="58" t="e">
        <f>BN5/BN10</f>
        <v>#DIV/0!</v>
      </c>
      <c r="BP5" s="60" t="e">
        <f>BN5/BN8</f>
        <v>#DIV/0!</v>
      </c>
      <c r="BQ5" s="58" t="e">
        <f>BQ4+BP5</f>
        <v>#DIV/0!</v>
      </c>
    </row>
    <row r="6" spans="1:69" x14ac:dyDescent="0.2">
      <c r="A6" s="121"/>
      <c r="B6" s="33" t="s">
        <v>5</v>
      </c>
      <c r="C6" s="33">
        <f>COUNTIF(Table2[BEFORE - Item 1A],2)</f>
        <v>0</v>
      </c>
      <c r="D6" s="58" t="e">
        <f>C6/C10</f>
        <v>#DIV/0!</v>
      </c>
      <c r="E6" s="60" t="e">
        <f>C6/C8</f>
        <v>#DIV/0!</v>
      </c>
      <c r="F6" s="58" t="e">
        <f>F5+E6</f>
        <v>#DIV/0!</v>
      </c>
      <c r="H6" s="121"/>
      <c r="I6" s="33" t="s">
        <v>5</v>
      </c>
      <c r="J6" s="33">
        <f>COUNTIF(Table24[BEFORE - Item 1B], 2)</f>
        <v>0</v>
      </c>
      <c r="K6" s="58" t="e">
        <f>J6/J10</f>
        <v>#DIV/0!</v>
      </c>
      <c r="L6" s="60" t="e">
        <f>J6/J8</f>
        <v>#DIV/0!</v>
      </c>
      <c r="M6" s="58" t="e">
        <f>M5+L6</f>
        <v>#DIV/0!</v>
      </c>
      <c r="O6" s="121"/>
      <c r="P6" s="33" t="s">
        <v>5</v>
      </c>
      <c r="Q6" s="33">
        <f>COUNTIF(Table25[BEFORE - Item 1C], 2)</f>
        <v>0</v>
      </c>
      <c r="R6" s="58" t="e">
        <f>Q6/Q10</f>
        <v>#DIV/0!</v>
      </c>
      <c r="S6" s="60" t="e">
        <f>Q6/Q8</f>
        <v>#DIV/0!</v>
      </c>
      <c r="T6" s="58" t="e">
        <f>T5+S6</f>
        <v>#DIV/0!</v>
      </c>
      <c r="V6" s="121"/>
      <c r="W6" s="33" t="s">
        <v>5</v>
      </c>
      <c r="X6" s="33">
        <f>COUNTIF(Table26[BEFORE - Item 1D], 2)</f>
        <v>0</v>
      </c>
      <c r="Y6" s="58" t="e">
        <f>X6/X10</f>
        <v>#DIV/0!</v>
      </c>
      <c r="Z6" s="60" t="e">
        <f>X6/X8</f>
        <v>#DIV/0!</v>
      </c>
      <c r="AA6" s="58" t="e">
        <f>AA5+Z6</f>
        <v>#DIV/0!</v>
      </c>
      <c r="AC6" s="121"/>
      <c r="AD6" s="33" t="s">
        <v>5</v>
      </c>
      <c r="AE6" s="33">
        <f>COUNTIF(Table27[BEFORE - Item 1E], 2)</f>
        <v>0</v>
      </c>
      <c r="AF6" s="58" t="e">
        <f>AE6/AE10</f>
        <v>#DIV/0!</v>
      </c>
      <c r="AG6" s="60" t="e">
        <f>AE6/AE8</f>
        <v>#DIV/0!</v>
      </c>
      <c r="AH6" s="58" t="e">
        <f>AH5+AG6</f>
        <v>#DIV/0!</v>
      </c>
      <c r="AJ6" s="121"/>
      <c r="AK6" s="33" t="s">
        <v>5</v>
      </c>
      <c r="AL6" s="33">
        <f>COUNTIF(Table278[BEFORE- Item 1F], 2)</f>
        <v>0</v>
      </c>
      <c r="AM6" s="58" t="e">
        <f>AL6/AL10</f>
        <v>#DIV/0!</v>
      </c>
      <c r="AN6" s="60" t="e">
        <f>AL6/AL8</f>
        <v>#DIV/0!</v>
      </c>
      <c r="AO6" s="58" t="e">
        <f>AO5+AN6</f>
        <v>#DIV/0!</v>
      </c>
      <c r="AQ6" s="121"/>
      <c r="AR6" s="33" t="s">
        <v>5</v>
      </c>
      <c r="AS6" s="33">
        <f>COUNTIF(Table259[BEFORE - Item 1G],2)</f>
        <v>0</v>
      </c>
      <c r="AT6" s="58" t="e">
        <f>AS6/AS10</f>
        <v>#DIV/0!</v>
      </c>
      <c r="AU6" s="60" t="e">
        <f>AS6/AS8</f>
        <v>#DIV/0!</v>
      </c>
      <c r="AV6" s="58" t="e">
        <f>AV5+AU6</f>
        <v>#DIV/0!</v>
      </c>
      <c r="AX6" s="121"/>
      <c r="AY6" s="33" t="s">
        <v>5</v>
      </c>
      <c r="AZ6" s="33">
        <f>COUNTIF(Table2610[BEFORE - Item 1H],2)</f>
        <v>0</v>
      </c>
      <c r="BA6" s="58" t="e">
        <f>AZ6/AZ10</f>
        <v>#DIV/0!</v>
      </c>
      <c r="BB6" s="60" t="e">
        <f>AZ6/AZ8</f>
        <v>#DIV/0!</v>
      </c>
      <c r="BC6" s="58" t="e">
        <f>BC5+BB6</f>
        <v>#DIV/0!</v>
      </c>
      <c r="BE6" s="121"/>
      <c r="BF6" s="33" t="s">
        <v>5</v>
      </c>
      <c r="BG6" s="33">
        <f>COUNTIF(Table2711[BEFORE - Item 1I],2)</f>
        <v>0</v>
      </c>
      <c r="BH6" s="58" t="e">
        <f>BG6/BG10</f>
        <v>#DIV/0!</v>
      </c>
      <c r="BI6" s="60" t="e">
        <f>BG6/BG8</f>
        <v>#DIV/0!</v>
      </c>
      <c r="BJ6" s="58" t="e">
        <f>BJ5+BI6</f>
        <v>#DIV/0!</v>
      </c>
      <c r="BL6" s="121"/>
      <c r="BM6" s="33" t="s">
        <v>5</v>
      </c>
      <c r="BN6" s="33">
        <f>COUNTIF(Table27812[BEFORE- Item 1J],2)</f>
        <v>0</v>
      </c>
      <c r="BO6" s="58" t="e">
        <f>BN6/BN10</f>
        <v>#DIV/0!</v>
      </c>
      <c r="BP6" s="60" t="e">
        <f>BN6/BN8</f>
        <v>#DIV/0!</v>
      </c>
      <c r="BQ6" s="58" t="e">
        <f>BQ5+BP6</f>
        <v>#DIV/0!</v>
      </c>
    </row>
    <row r="7" spans="1:69" x14ac:dyDescent="0.2">
      <c r="A7" s="121"/>
      <c r="B7" s="33" t="s">
        <v>3</v>
      </c>
      <c r="C7" s="33">
        <f>COUNTIF(Table2[BEFORE - Item 1A],1)</f>
        <v>0</v>
      </c>
      <c r="D7" s="58" t="e">
        <f>C7/C10</f>
        <v>#DIV/0!</v>
      </c>
      <c r="E7" s="60" t="e">
        <f>C7/C8</f>
        <v>#DIV/0!</v>
      </c>
      <c r="F7" s="58" t="e">
        <f>F6+E7</f>
        <v>#DIV/0!</v>
      </c>
      <c r="H7" s="121"/>
      <c r="I7" s="33" t="s">
        <v>3</v>
      </c>
      <c r="J7" s="33">
        <f>COUNTIF(Table24[BEFORE - Item 1B], 1)</f>
        <v>0</v>
      </c>
      <c r="K7" s="58" t="e">
        <f>J7/J10</f>
        <v>#DIV/0!</v>
      </c>
      <c r="L7" s="60" t="e">
        <f>J7/J8</f>
        <v>#DIV/0!</v>
      </c>
      <c r="M7" s="58" t="e">
        <f>M6+L7</f>
        <v>#DIV/0!</v>
      </c>
      <c r="O7" s="121"/>
      <c r="P7" s="33" t="s">
        <v>3</v>
      </c>
      <c r="Q7" s="33">
        <f>COUNTIF(Table25[BEFORE - Item 1C], 1)</f>
        <v>0</v>
      </c>
      <c r="R7" s="58" t="e">
        <f>Q7/Q10</f>
        <v>#DIV/0!</v>
      </c>
      <c r="S7" s="60" t="e">
        <f>Q7/Q8</f>
        <v>#DIV/0!</v>
      </c>
      <c r="T7" s="58" t="e">
        <f>T6+S7</f>
        <v>#DIV/0!</v>
      </c>
      <c r="V7" s="121"/>
      <c r="W7" s="33" t="s">
        <v>3</v>
      </c>
      <c r="X7" s="33">
        <f>COUNTIF(Table26[BEFORE - Item 1D], 1)</f>
        <v>0</v>
      </c>
      <c r="Y7" s="58" t="e">
        <f>X7/X10</f>
        <v>#DIV/0!</v>
      </c>
      <c r="Z7" s="60" t="e">
        <f>X7/X8</f>
        <v>#DIV/0!</v>
      </c>
      <c r="AA7" s="58" t="e">
        <f>AA6+Z7</f>
        <v>#DIV/0!</v>
      </c>
      <c r="AC7" s="121"/>
      <c r="AD7" s="33" t="s">
        <v>3</v>
      </c>
      <c r="AE7" s="33">
        <f>COUNTIF(Table27[BEFORE - Item 1E], 1)</f>
        <v>0</v>
      </c>
      <c r="AF7" s="58" t="e">
        <f>AE7/AE10</f>
        <v>#DIV/0!</v>
      </c>
      <c r="AG7" s="60" t="e">
        <f>AE7/AE8</f>
        <v>#DIV/0!</v>
      </c>
      <c r="AH7" s="58" t="e">
        <f>AH6+AG7</f>
        <v>#DIV/0!</v>
      </c>
      <c r="AJ7" s="121"/>
      <c r="AK7" s="33" t="s">
        <v>3</v>
      </c>
      <c r="AL7" s="33">
        <f>COUNTIF(Table278[BEFORE- Item 1F], 1)</f>
        <v>0</v>
      </c>
      <c r="AM7" s="58" t="e">
        <f>AL7/AL10</f>
        <v>#DIV/0!</v>
      </c>
      <c r="AN7" s="60" t="e">
        <f>AL7/AL8</f>
        <v>#DIV/0!</v>
      </c>
      <c r="AO7" s="58" t="e">
        <f>AO6+AN7</f>
        <v>#DIV/0!</v>
      </c>
      <c r="AQ7" s="121"/>
      <c r="AR7" s="33" t="s">
        <v>3</v>
      </c>
      <c r="AS7" s="33">
        <f>COUNTIF(Table259[BEFORE - Item 1G],1)</f>
        <v>0</v>
      </c>
      <c r="AT7" s="58" t="e">
        <f>AS7/AS10</f>
        <v>#DIV/0!</v>
      </c>
      <c r="AU7" s="60" t="e">
        <f>AS7/AS8</f>
        <v>#DIV/0!</v>
      </c>
      <c r="AV7" s="58" t="e">
        <f>AV6+AU7</f>
        <v>#DIV/0!</v>
      </c>
      <c r="AX7" s="121"/>
      <c r="AY7" s="33" t="s">
        <v>3</v>
      </c>
      <c r="AZ7" s="33">
        <f>COUNTIF(Table2610[BEFORE - Item 1H],1)</f>
        <v>0</v>
      </c>
      <c r="BA7" s="58" t="e">
        <f>AZ7/AZ10</f>
        <v>#DIV/0!</v>
      </c>
      <c r="BB7" s="60" t="e">
        <f>AZ7/AZ8</f>
        <v>#DIV/0!</v>
      </c>
      <c r="BC7" s="58" t="e">
        <f>BC6+BB7</f>
        <v>#DIV/0!</v>
      </c>
      <c r="BE7" s="121"/>
      <c r="BF7" s="33" t="s">
        <v>3</v>
      </c>
      <c r="BG7" s="33">
        <f>COUNTIF(Table2711[BEFORE - Item 1I],1)</f>
        <v>0</v>
      </c>
      <c r="BH7" s="58" t="e">
        <f>BG7/BG10</f>
        <v>#DIV/0!</v>
      </c>
      <c r="BI7" s="60" t="e">
        <f>BG7/BG8</f>
        <v>#DIV/0!</v>
      </c>
      <c r="BJ7" s="58" t="e">
        <f>BJ6+BI7</f>
        <v>#DIV/0!</v>
      </c>
      <c r="BL7" s="121"/>
      <c r="BM7" s="33" t="s">
        <v>3</v>
      </c>
      <c r="BN7" s="33">
        <f>COUNTIF(Table27812[BEFORE- Item 1J],1)</f>
        <v>0</v>
      </c>
      <c r="BO7" s="58" t="e">
        <f>BN7/BN10</f>
        <v>#DIV/0!</v>
      </c>
      <c r="BP7" s="60" t="e">
        <f>BN7/BN8</f>
        <v>#DIV/0!</v>
      </c>
      <c r="BQ7" s="58" t="e">
        <f>BQ6+BP7</f>
        <v>#DIV/0!</v>
      </c>
    </row>
    <row r="8" spans="1:69" x14ac:dyDescent="0.2">
      <c r="A8" s="121"/>
      <c r="B8" s="41" t="s">
        <v>66</v>
      </c>
      <c r="C8" s="33">
        <f>SUM(C4:C7)</f>
        <v>0</v>
      </c>
      <c r="D8" s="58" t="e">
        <f>SUM(D4:D7)</f>
        <v>#DIV/0!</v>
      </c>
      <c r="E8" s="60" t="e">
        <f>SUM(E4:E7)</f>
        <v>#DIV/0!</v>
      </c>
      <c r="F8" s="14"/>
      <c r="H8" s="121"/>
      <c r="I8" s="37" t="s">
        <v>66</v>
      </c>
      <c r="J8" s="33">
        <f>SUM(J4:J7)</f>
        <v>0</v>
      </c>
      <c r="K8" s="58" t="e">
        <f>SUM(K4:K7)</f>
        <v>#DIV/0!</v>
      </c>
      <c r="L8" s="60" t="e">
        <f>SUM(L4:L7)</f>
        <v>#DIV/0!</v>
      </c>
      <c r="M8" s="14"/>
      <c r="O8" s="121"/>
      <c r="P8" s="37" t="s">
        <v>66</v>
      </c>
      <c r="Q8" s="33">
        <f>SUM(Q4:Q7)</f>
        <v>0</v>
      </c>
      <c r="R8" s="58" t="e">
        <f>SUM(R4:R7)</f>
        <v>#DIV/0!</v>
      </c>
      <c r="S8" s="60" t="e">
        <f>SUM(S4:S7)</f>
        <v>#DIV/0!</v>
      </c>
      <c r="T8" s="14"/>
      <c r="V8" s="121"/>
      <c r="W8" s="37" t="s">
        <v>66</v>
      </c>
      <c r="X8" s="33">
        <f>SUM(X4:X7)</f>
        <v>0</v>
      </c>
      <c r="Y8" s="58" t="e">
        <f>SUM(Y4:Y7)</f>
        <v>#DIV/0!</v>
      </c>
      <c r="Z8" s="60" t="e">
        <f>SUM(Z4:Z7)</f>
        <v>#DIV/0!</v>
      </c>
      <c r="AA8" s="64"/>
      <c r="AC8" s="121"/>
      <c r="AD8" s="37" t="s">
        <v>66</v>
      </c>
      <c r="AE8" s="33">
        <f>SUM(AE4:AE7)</f>
        <v>0</v>
      </c>
      <c r="AF8" s="58" t="e">
        <f>SUM(AF4:AF7)</f>
        <v>#DIV/0!</v>
      </c>
      <c r="AG8" s="60" t="e">
        <f>SUM(AG4:AG7)</f>
        <v>#DIV/0!</v>
      </c>
      <c r="AH8" s="64"/>
      <c r="AJ8" s="121"/>
      <c r="AK8" s="37" t="s">
        <v>66</v>
      </c>
      <c r="AL8" s="33">
        <f>SUM(AL4:AL7)</f>
        <v>0</v>
      </c>
      <c r="AM8" s="58" t="e">
        <f>SUM(AM4:AM7)</f>
        <v>#DIV/0!</v>
      </c>
      <c r="AN8" s="60" t="e">
        <f>SUM(AN4:AN7)</f>
        <v>#DIV/0!</v>
      </c>
      <c r="AO8" s="64"/>
      <c r="AQ8" s="121"/>
      <c r="AR8" s="37" t="s">
        <v>66</v>
      </c>
      <c r="AS8" s="33">
        <f>SUM(AS4:AS7)</f>
        <v>0</v>
      </c>
      <c r="AT8" s="58" t="e">
        <f>SUM(AT4:AT7)</f>
        <v>#DIV/0!</v>
      </c>
      <c r="AU8" s="60" t="e">
        <f>SUM(AU4:AU7)</f>
        <v>#DIV/0!</v>
      </c>
      <c r="AV8" s="64"/>
      <c r="AX8" s="121"/>
      <c r="AY8" s="37" t="s">
        <v>66</v>
      </c>
      <c r="AZ8" s="33">
        <f>SUM(AZ4:AZ7)</f>
        <v>0</v>
      </c>
      <c r="BA8" s="58" t="e">
        <f>SUM(BA4:BA7)</f>
        <v>#DIV/0!</v>
      </c>
      <c r="BB8" s="60" t="e">
        <f>SUM(BB4:BB7)</f>
        <v>#DIV/0!</v>
      </c>
      <c r="BC8" s="64"/>
      <c r="BE8" s="121"/>
      <c r="BF8" s="37" t="s">
        <v>66</v>
      </c>
      <c r="BG8" s="33">
        <f>SUM(BG4:BG7)</f>
        <v>0</v>
      </c>
      <c r="BH8" s="58" t="e">
        <f>SUM(BH4:BH7)</f>
        <v>#DIV/0!</v>
      </c>
      <c r="BI8" s="60" t="e">
        <f>SUM(BI4:BI7)</f>
        <v>#DIV/0!</v>
      </c>
      <c r="BJ8" s="64"/>
      <c r="BL8" s="121"/>
      <c r="BM8" s="37" t="s">
        <v>66</v>
      </c>
      <c r="BN8" s="33">
        <f>SUM(BN4:BN7)</f>
        <v>0</v>
      </c>
      <c r="BO8" s="58" t="e">
        <f>SUM(BO4:BO7)</f>
        <v>#DIV/0!</v>
      </c>
      <c r="BP8" s="60" t="e">
        <f>SUM(BP4:BP7)</f>
        <v>#DIV/0!</v>
      </c>
      <c r="BQ8" s="66"/>
    </row>
    <row r="9" spans="1:69" x14ac:dyDescent="0.2">
      <c r="A9" s="33" t="s">
        <v>67</v>
      </c>
      <c r="B9" s="33" t="s">
        <v>68</v>
      </c>
      <c r="C9" s="33">
        <f>COUNTBLANK(Table2[BEFORE - Item 1A])</f>
        <v>0</v>
      </c>
      <c r="D9" s="58" t="e">
        <f>C9/C10</f>
        <v>#DIV/0!</v>
      </c>
      <c r="E9" s="14"/>
      <c r="F9" s="14"/>
      <c r="H9" s="33" t="s">
        <v>67</v>
      </c>
      <c r="I9" s="33" t="s">
        <v>68</v>
      </c>
      <c r="J9" s="33">
        <f>COUNTBLANK(Table24[BEFORE - Item 1B])</f>
        <v>0</v>
      </c>
      <c r="K9" s="58" t="e">
        <f>J9/J10</f>
        <v>#DIV/0!</v>
      </c>
      <c r="L9" s="14"/>
      <c r="M9" s="14"/>
      <c r="O9" s="33" t="s">
        <v>67</v>
      </c>
      <c r="P9" s="33" t="s">
        <v>68</v>
      </c>
      <c r="Q9" s="33">
        <f>COUNTBLANK(Table25[BEFORE - Item 1C])</f>
        <v>0</v>
      </c>
      <c r="R9" s="58" t="e">
        <f>Q9/Q10</f>
        <v>#DIV/0!</v>
      </c>
      <c r="S9" s="14"/>
      <c r="T9" s="14"/>
      <c r="V9" s="33" t="s">
        <v>67</v>
      </c>
      <c r="W9" s="33" t="s">
        <v>68</v>
      </c>
      <c r="X9" s="33">
        <f>COUNTBLANK(Table26[BEFORE - Item 1D])</f>
        <v>0</v>
      </c>
      <c r="Y9" s="58" t="e">
        <f>X9/X10</f>
        <v>#DIV/0!</v>
      </c>
      <c r="Z9" s="14"/>
      <c r="AA9" s="14"/>
      <c r="AC9" s="33" t="s">
        <v>67</v>
      </c>
      <c r="AD9" s="33" t="s">
        <v>68</v>
      </c>
      <c r="AE9" s="33">
        <f>COUNTBLANK(Table27[BEFORE - Item 1E])</f>
        <v>0</v>
      </c>
      <c r="AF9" s="58" t="e">
        <f>AE9/AE10</f>
        <v>#DIV/0!</v>
      </c>
      <c r="AG9" s="14"/>
      <c r="AH9" s="14"/>
      <c r="AJ9" s="33" t="s">
        <v>67</v>
      </c>
      <c r="AK9" s="33" t="s">
        <v>68</v>
      </c>
      <c r="AL9" s="33">
        <f>COUNTBLANK(Table278[BEFORE- Item 1F])</f>
        <v>0</v>
      </c>
      <c r="AM9" s="58" t="e">
        <f>AL9/AL10</f>
        <v>#DIV/0!</v>
      </c>
      <c r="AN9" s="14"/>
      <c r="AO9" s="14"/>
      <c r="AQ9" s="33" t="s">
        <v>67</v>
      </c>
      <c r="AR9" s="33" t="s">
        <v>68</v>
      </c>
      <c r="AS9" s="33">
        <f>COUNTBLANK(Table259[BEFORE - Item 1G])</f>
        <v>0</v>
      </c>
      <c r="AT9" s="58" t="e">
        <f>AS9/AS10</f>
        <v>#DIV/0!</v>
      </c>
      <c r="AU9" s="14"/>
      <c r="AV9" s="14"/>
      <c r="AX9" s="33" t="s">
        <v>67</v>
      </c>
      <c r="AY9" s="33" t="s">
        <v>68</v>
      </c>
      <c r="AZ9" s="33">
        <f>COUNTBLANK(Table2610[BEFORE - Item 1H])</f>
        <v>0</v>
      </c>
      <c r="BA9" s="58" t="e">
        <f>AZ9/AZ10</f>
        <v>#DIV/0!</v>
      </c>
      <c r="BB9" s="14"/>
      <c r="BC9" s="14"/>
      <c r="BE9" s="33" t="s">
        <v>67</v>
      </c>
      <c r="BF9" s="33" t="s">
        <v>68</v>
      </c>
      <c r="BG9" s="33">
        <f>COUNTBLANK(Table2711[BEFORE - Item 1I])</f>
        <v>0</v>
      </c>
      <c r="BH9" s="58" t="e">
        <f>BG9/BG10</f>
        <v>#DIV/0!</v>
      </c>
      <c r="BI9" s="14"/>
      <c r="BJ9" s="14"/>
      <c r="BL9" s="33" t="s">
        <v>67</v>
      </c>
      <c r="BM9" s="33" t="s">
        <v>68</v>
      </c>
      <c r="BN9" s="33">
        <f>COUNTBLANK(Table27812[BEFORE- Item 1J])</f>
        <v>0</v>
      </c>
      <c r="BO9" s="58" t="e">
        <f>BN9/BN10</f>
        <v>#DIV/0!</v>
      </c>
      <c r="BP9" s="14"/>
      <c r="BQ9" s="5"/>
    </row>
    <row r="10" spans="1:69" x14ac:dyDescent="0.2">
      <c r="A10" s="38" t="s">
        <v>66</v>
      </c>
      <c r="B10" s="12"/>
      <c r="C10" s="33">
        <f>SUM(C8:C9)</f>
        <v>0</v>
      </c>
      <c r="D10" s="59" t="e">
        <f>SUM(D8:D9)</f>
        <v>#DIV/0!</v>
      </c>
      <c r="E10" s="2"/>
      <c r="H10" s="37" t="s">
        <v>66</v>
      </c>
      <c r="I10" s="33"/>
      <c r="J10" s="33">
        <f>SUM(J8:J9)</f>
        <v>0</v>
      </c>
      <c r="K10" s="59" t="e">
        <f>SUM(K8:K9)</f>
        <v>#DIV/0!</v>
      </c>
      <c r="L10" s="2"/>
      <c r="O10" s="37" t="s">
        <v>66</v>
      </c>
      <c r="P10" s="33"/>
      <c r="Q10" s="33">
        <f>SUM(Q8:Q9)</f>
        <v>0</v>
      </c>
      <c r="R10" s="59" t="e">
        <f>SUM(R8:R9)</f>
        <v>#DIV/0!</v>
      </c>
      <c r="S10" s="2"/>
      <c r="V10" s="37" t="s">
        <v>66</v>
      </c>
      <c r="W10" s="33"/>
      <c r="X10" s="33">
        <f>SUM(X8:X9)</f>
        <v>0</v>
      </c>
      <c r="Y10" s="59" t="e">
        <f>SUM(Y8:Y9)</f>
        <v>#DIV/0!</v>
      </c>
      <c r="Z10" s="2"/>
      <c r="AC10" s="37" t="s">
        <v>66</v>
      </c>
      <c r="AD10" s="33"/>
      <c r="AE10" s="33">
        <f>SUM(AE8:AE9)</f>
        <v>0</v>
      </c>
      <c r="AF10" s="59" t="e">
        <f>SUM(AF8:AF9)</f>
        <v>#DIV/0!</v>
      </c>
      <c r="AG10" s="2"/>
      <c r="AJ10" s="37" t="s">
        <v>66</v>
      </c>
      <c r="AK10" s="33"/>
      <c r="AL10" s="33">
        <f>SUM(AL8:AL9)</f>
        <v>0</v>
      </c>
      <c r="AM10" s="59" t="e">
        <f>SUM(AM8:AM9)</f>
        <v>#DIV/0!</v>
      </c>
      <c r="AN10" s="2"/>
      <c r="AQ10" s="37" t="s">
        <v>66</v>
      </c>
      <c r="AR10" s="33"/>
      <c r="AS10" s="33">
        <f>SUM(AS8:AS9)</f>
        <v>0</v>
      </c>
      <c r="AT10" s="59" t="e">
        <f>SUM(AT8:AT9)</f>
        <v>#DIV/0!</v>
      </c>
      <c r="AU10" s="2"/>
      <c r="AX10" s="37" t="s">
        <v>66</v>
      </c>
      <c r="AY10" s="33"/>
      <c r="AZ10" s="33">
        <f>SUM(AZ8:AZ9)</f>
        <v>0</v>
      </c>
      <c r="BA10" s="59" t="e">
        <f>SUM(BA8:BA9)</f>
        <v>#DIV/0!</v>
      </c>
      <c r="BB10" s="2"/>
      <c r="BE10" s="37" t="s">
        <v>66</v>
      </c>
      <c r="BF10" s="33"/>
      <c r="BG10" s="33">
        <f>SUM(BG8:BG9)</f>
        <v>0</v>
      </c>
      <c r="BH10" s="59" t="e">
        <f>SUM(BH8:BH9)</f>
        <v>#DIV/0!</v>
      </c>
      <c r="BI10" s="2"/>
      <c r="BL10" s="37" t="s">
        <v>66</v>
      </c>
      <c r="BM10" s="33"/>
      <c r="BN10" s="33">
        <f>SUM(BN8:BN9)</f>
        <v>0</v>
      </c>
      <c r="BO10" s="59" t="e">
        <f>SUM(BO8:BO9)</f>
        <v>#DIV/0!</v>
      </c>
      <c r="BP10" s="2"/>
    </row>
    <row r="14" spans="1:69" x14ac:dyDescent="0.2">
      <c r="A14" s="122" t="s">
        <v>69</v>
      </c>
      <c r="B14" s="122"/>
      <c r="C14" s="122"/>
      <c r="D14" s="122"/>
      <c r="E14" s="122"/>
      <c r="F14" s="122"/>
      <c r="H14" s="122" t="s">
        <v>69</v>
      </c>
      <c r="I14" s="122"/>
      <c r="J14" s="122"/>
      <c r="K14" s="122"/>
      <c r="L14" s="122"/>
      <c r="M14" s="122"/>
      <c r="O14" s="122" t="s">
        <v>69</v>
      </c>
      <c r="P14" s="122"/>
      <c r="Q14" s="122"/>
      <c r="R14" s="122"/>
      <c r="S14" s="122"/>
      <c r="T14" s="122"/>
      <c r="V14" s="122" t="s">
        <v>69</v>
      </c>
      <c r="W14" s="122"/>
      <c r="X14" s="122"/>
      <c r="Y14" s="122"/>
      <c r="Z14" s="122"/>
      <c r="AA14" s="122"/>
      <c r="AC14" s="122" t="s">
        <v>69</v>
      </c>
      <c r="AD14" s="122"/>
      <c r="AE14" s="122"/>
      <c r="AF14" s="122"/>
      <c r="AG14" s="122"/>
      <c r="AH14" s="122"/>
      <c r="AJ14" s="122" t="s">
        <v>69</v>
      </c>
      <c r="AK14" s="122"/>
      <c r="AL14" s="122"/>
      <c r="AM14" s="122"/>
      <c r="AN14" s="122"/>
      <c r="AO14" s="122"/>
      <c r="AQ14" s="122" t="s">
        <v>69</v>
      </c>
      <c r="AR14" s="122"/>
      <c r="AS14" s="122"/>
      <c r="AT14" s="122"/>
      <c r="AU14" s="122"/>
      <c r="AV14" s="122"/>
      <c r="AX14" s="122" t="s">
        <v>69</v>
      </c>
      <c r="AY14" s="122"/>
      <c r="AZ14" s="122"/>
      <c r="BA14" s="122"/>
      <c r="BB14" s="122"/>
      <c r="BC14" s="122"/>
      <c r="BE14" s="122" t="s">
        <v>69</v>
      </c>
      <c r="BF14" s="122"/>
      <c r="BG14" s="122"/>
      <c r="BH14" s="122"/>
      <c r="BI14" s="122"/>
      <c r="BJ14" s="122"/>
      <c r="BL14" s="122" t="s">
        <v>69</v>
      </c>
      <c r="BM14" s="122"/>
      <c r="BN14" s="122"/>
      <c r="BO14" s="122"/>
      <c r="BP14" s="122"/>
      <c r="BQ14" s="122"/>
    </row>
    <row r="15" spans="1:69" x14ac:dyDescent="0.2">
      <c r="A15" s="117"/>
      <c r="B15" s="117"/>
      <c r="C15" s="32" t="s">
        <v>49</v>
      </c>
      <c r="D15" s="32" t="s">
        <v>64</v>
      </c>
      <c r="E15" s="32" t="s">
        <v>50</v>
      </c>
      <c r="F15" s="32" t="s">
        <v>51</v>
      </c>
      <c r="H15" s="117"/>
      <c r="I15" s="117"/>
      <c r="J15" s="32" t="s">
        <v>49</v>
      </c>
      <c r="K15" s="32" t="s">
        <v>64</v>
      </c>
      <c r="L15" s="32" t="s">
        <v>50</v>
      </c>
      <c r="M15" s="32" t="s">
        <v>51</v>
      </c>
      <c r="O15" s="117"/>
      <c r="P15" s="117"/>
      <c r="Q15" s="32" t="s">
        <v>49</v>
      </c>
      <c r="R15" s="32" t="s">
        <v>64</v>
      </c>
      <c r="S15" s="32" t="s">
        <v>50</v>
      </c>
      <c r="T15" s="32" t="s">
        <v>51</v>
      </c>
      <c r="V15" s="117"/>
      <c r="W15" s="117"/>
      <c r="X15" s="32" t="s">
        <v>49</v>
      </c>
      <c r="Y15" s="32" t="s">
        <v>64</v>
      </c>
      <c r="Z15" s="32" t="s">
        <v>50</v>
      </c>
      <c r="AA15" s="32" t="s">
        <v>51</v>
      </c>
      <c r="AC15" s="117"/>
      <c r="AD15" s="117"/>
      <c r="AE15" s="32" t="s">
        <v>49</v>
      </c>
      <c r="AF15" s="32" t="s">
        <v>64</v>
      </c>
      <c r="AG15" s="32" t="s">
        <v>50</v>
      </c>
      <c r="AH15" s="32" t="s">
        <v>51</v>
      </c>
      <c r="AJ15" s="117"/>
      <c r="AK15" s="117"/>
      <c r="AL15" s="32" t="s">
        <v>49</v>
      </c>
      <c r="AM15" s="32" t="s">
        <v>64</v>
      </c>
      <c r="AN15" s="32" t="s">
        <v>50</v>
      </c>
      <c r="AO15" s="32" t="s">
        <v>51</v>
      </c>
      <c r="AQ15" s="117"/>
      <c r="AR15" s="117"/>
      <c r="AS15" s="32" t="s">
        <v>49</v>
      </c>
      <c r="AT15" s="32" t="s">
        <v>64</v>
      </c>
      <c r="AU15" s="32" t="s">
        <v>50</v>
      </c>
      <c r="AV15" s="32" t="s">
        <v>51</v>
      </c>
      <c r="AX15" s="117"/>
      <c r="AY15" s="117"/>
      <c r="AZ15" s="32" t="s">
        <v>49</v>
      </c>
      <c r="BA15" s="32" t="s">
        <v>64</v>
      </c>
      <c r="BB15" s="32" t="s">
        <v>50</v>
      </c>
      <c r="BC15" s="32" t="s">
        <v>51</v>
      </c>
      <c r="BE15" s="117"/>
      <c r="BF15" s="117"/>
      <c r="BG15" s="32" t="s">
        <v>49</v>
      </c>
      <c r="BH15" s="32" t="s">
        <v>64</v>
      </c>
      <c r="BI15" s="32" t="s">
        <v>50</v>
      </c>
      <c r="BJ15" s="32" t="s">
        <v>51</v>
      </c>
      <c r="BL15" s="117"/>
      <c r="BM15" s="117"/>
      <c r="BN15" s="32" t="s">
        <v>49</v>
      </c>
      <c r="BO15" s="32" t="s">
        <v>64</v>
      </c>
      <c r="BP15" s="32" t="s">
        <v>50</v>
      </c>
      <c r="BQ15" s="32" t="s">
        <v>51</v>
      </c>
    </row>
    <row r="16" spans="1:69" x14ac:dyDescent="0.2">
      <c r="A16" s="127" t="s">
        <v>65</v>
      </c>
      <c r="B16" s="33" t="s">
        <v>9</v>
      </c>
      <c r="C16" s="33">
        <f>COUNTIF(Table2[AFTER - Item 1A],4)</f>
        <v>0</v>
      </c>
      <c r="D16" s="58" t="e">
        <f>C16/C22</f>
        <v>#DIV/0!</v>
      </c>
      <c r="E16" s="60" t="e">
        <f>C16/C20</f>
        <v>#DIV/0!</v>
      </c>
      <c r="F16" s="59" t="e">
        <f>E16</f>
        <v>#DIV/0!</v>
      </c>
      <c r="H16" s="121" t="s">
        <v>65</v>
      </c>
      <c r="I16" s="33" t="s">
        <v>9</v>
      </c>
      <c r="J16" s="33">
        <f>COUNTIF(Table24[AFTER - Item 1B],4)</f>
        <v>0</v>
      </c>
      <c r="K16" s="39" t="e">
        <f>J16/J22</f>
        <v>#DIV/0!</v>
      </c>
      <c r="L16" s="40" t="e">
        <f>J16/J20</f>
        <v>#DIV/0!</v>
      </c>
      <c r="M16" s="42" t="e">
        <f>L16</f>
        <v>#DIV/0!</v>
      </c>
      <c r="O16" s="121" t="s">
        <v>65</v>
      </c>
      <c r="P16" s="33" t="s">
        <v>9</v>
      </c>
      <c r="Q16" s="33">
        <f>COUNTIF(Table25[AFTER -Item 1C], 4)</f>
        <v>0</v>
      </c>
      <c r="R16" s="58" t="e">
        <f>Q16/Q22</f>
        <v>#DIV/0!</v>
      </c>
      <c r="S16" s="60" t="e">
        <f>Q16/Q20</f>
        <v>#DIV/0!</v>
      </c>
      <c r="T16" s="59" t="e">
        <f>S16</f>
        <v>#DIV/0!</v>
      </c>
      <c r="V16" s="121" t="s">
        <v>65</v>
      </c>
      <c r="W16" s="33" t="s">
        <v>9</v>
      </c>
      <c r="X16" s="33">
        <f>COUNTIF(Table26[AFTER - Item 1D], 4)</f>
        <v>0</v>
      </c>
      <c r="Y16" s="58" t="e">
        <f>X16/X22</f>
        <v>#DIV/0!</v>
      </c>
      <c r="Z16" s="60" t="e">
        <f>X16/X20</f>
        <v>#DIV/0!</v>
      </c>
      <c r="AA16" s="59" t="e">
        <f>Z16</f>
        <v>#DIV/0!</v>
      </c>
      <c r="AC16" s="121" t="s">
        <v>65</v>
      </c>
      <c r="AD16" s="33" t="s">
        <v>9</v>
      </c>
      <c r="AE16" s="33">
        <f>COUNTIF(Table27[AFTER - Item 1E], 4)</f>
        <v>0</v>
      </c>
      <c r="AF16" s="58" t="e">
        <f>AE16/AE22</f>
        <v>#DIV/0!</v>
      </c>
      <c r="AG16" s="60" t="e">
        <f>AE16/AE20</f>
        <v>#DIV/0!</v>
      </c>
      <c r="AH16" s="59" t="e">
        <f>AG16</f>
        <v>#DIV/0!</v>
      </c>
      <c r="AJ16" s="121" t="s">
        <v>65</v>
      </c>
      <c r="AK16" s="33" t="s">
        <v>9</v>
      </c>
      <c r="AL16" s="33">
        <f>COUNTIF(Table278[AFTER- Item 1F], 4)</f>
        <v>0</v>
      </c>
      <c r="AM16" s="58" t="e">
        <f>AL16/AL22</f>
        <v>#DIV/0!</v>
      </c>
      <c r="AN16" s="60" t="e">
        <f>AL16/AL20</f>
        <v>#DIV/0!</v>
      </c>
      <c r="AO16" s="59" t="e">
        <f>AN16</f>
        <v>#DIV/0!</v>
      </c>
      <c r="AQ16" s="121" t="s">
        <v>65</v>
      </c>
      <c r="AR16" s="33" t="s">
        <v>9</v>
      </c>
      <c r="AS16" s="33">
        <f>COUNTIF(Table259[AFTER -Item 1G],4)</f>
        <v>0</v>
      </c>
      <c r="AT16" s="58" t="e">
        <f>AS16/AS22</f>
        <v>#DIV/0!</v>
      </c>
      <c r="AU16" s="60" t="e">
        <f>AS16/AS20</f>
        <v>#DIV/0!</v>
      </c>
      <c r="AV16" s="59" t="e">
        <f>AU16</f>
        <v>#DIV/0!</v>
      </c>
      <c r="AX16" s="121" t="s">
        <v>65</v>
      </c>
      <c r="AY16" s="33" t="s">
        <v>9</v>
      </c>
      <c r="AZ16" s="33">
        <f>COUNTIF(Table2610[AFTER - Item 1H],4)</f>
        <v>0</v>
      </c>
      <c r="BA16" s="58" t="e">
        <f>AZ16/AZ22</f>
        <v>#DIV/0!</v>
      </c>
      <c r="BB16" s="60" t="e">
        <f>AZ16/AZ20</f>
        <v>#DIV/0!</v>
      </c>
      <c r="BC16" s="59" t="e">
        <f>BB16</f>
        <v>#DIV/0!</v>
      </c>
      <c r="BE16" s="121" t="s">
        <v>65</v>
      </c>
      <c r="BF16" s="33" t="s">
        <v>9</v>
      </c>
      <c r="BG16" s="33">
        <f>COUNTIF(Table2711[AFTER - Item 1I],4)</f>
        <v>0</v>
      </c>
      <c r="BH16" s="58" t="e">
        <f>BG16/BG22</f>
        <v>#DIV/0!</v>
      </c>
      <c r="BI16" s="60" t="e">
        <f>BG16/BG20</f>
        <v>#DIV/0!</v>
      </c>
      <c r="BJ16" s="59" t="e">
        <f>BI16</f>
        <v>#DIV/0!</v>
      </c>
      <c r="BL16" s="121" t="s">
        <v>65</v>
      </c>
      <c r="BM16" s="33" t="s">
        <v>9</v>
      </c>
      <c r="BN16" s="33">
        <f>COUNTIF(Table27812[AFTER- Item 1J],4)</f>
        <v>0</v>
      </c>
      <c r="BO16" s="58" t="e">
        <f>BN16/BN22</f>
        <v>#DIV/0!</v>
      </c>
      <c r="BP16" s="60" t="e">
        <f>BN16/BN20</f>
        <v>#DIV/0!</v>
      </c>
      <c r="BQ16" s="59" t="e">
        <f>BP16</f>
        <v>#DIV/0!</v>
      </c>
    </row>
    <row r="17" spans="1:69" x14ac:dyDescent="0.2">
      <c r="A17" s="127"/>
      <c r="B17" s="33" t="s">
        <v>7</v>
      </c>
      <c r="C17" s="33">
        <f>COUNTIF(Table2[AFTER - Item 1A],3)</f>
        <v>0</v>
      </c>
      <c r="D17" s="58" t="e">
        <f>C17/C22</f>
        <v>#DIV/0!</v>
      </c>
      <c r="E17" s="60" t="e">
        <f>C17/C20</f>
        <v>#DIV/0!</v>
      </c>
      <c r="F17" s="59" t="e">
        <f>F16+E17</f>
        <v>#DIV/0!</v>
      </c>
      <c r="H17" s="121"/>
      <c r="I17" s="33" t="s">
        <v>7</v>
      </c>
      <c r="J17" s="33">
        <f>COUNTIF(Table24[AFTER - Item 1B],3)</f>
        <v>0</v>
      </c>
      <c r="K17" s="39" t="e">
        <f>J17/J22</f>
        <v>#DIV/0!</v>
      </c>
      <c r="L17" s="40" t="e">
        <f>J17/J20</f>
        <v>#DIV/0!</v>
      </c>
      <c r="M17" s="42" t="e">
        <f>M16+L17</f>
        <v>#DIV/0!</v>
      </c>
      <c r="O17" s="121"/>
      <c r="P17" s="33" t="s">
        <v>7</v>
      </c>
      <c r="Q17" s="33">
        <f>COUNTIF(Table25[AFTER -Item 1C], 3)</f>
        <v>0</v>
      </c>
      <c r="R17" s="58" t="e">
        <f>Q17/Q22</f>
        <v>#DIV/0!</v>
      </c>
      <c r="S17" s="60" t="e">
        <f>Q17/Q20</f>
        <v>#DIV/0!</v>
      </c>
      <c r="T17" s="59" t="e">
        <f>T16+S17</f>
        <v>#DIV/0!</v>
      </c>
      <c r="V17" s="121"/>
      <c r="W17" s="33" t="s">
        <v>7</v>
      </c>
      <c r="X17" s="33">
        <f>COUNTIF(Table26[AFTER - Item 1D], 3)</f>
        <v>0</v>
      </c>
      <c r="Y17" s="58" t="e">
        <f>X17/X22</f>
        <v>#DIV/0!</v>
      </c>
      <c r="Z17" s="60" t="e">
        <f>X17/X20</f>
        <v>#DIV/0!</v>
      </c>
      <c r="AA17" s="59" t="e">
        <f>AA16+Z17</f>
        <v>#DIV/0!</v>
      </c>
      <c r="AC17" s="121"/>
      <c r="AD17" s="33" t="s">
        <v>7</v>
      </c>
      <c r="AE17" s="33">
        <f>COUNTIF(Table27[AFTER - Item 1E], 3)</f>
        <v>0</v>
      </c>
      <c r="AF17" s="58" t="e">
        <f>AE17/AE22</f>
        <v>#DIV/0!</v>
      </c>
      <c r="AG17" s="60" t="e">
        <f>AE17/AE20</f>
        <v>#DIV/0!</v>
      </c>
      <c r="AH17" s="59" t="e">
        <f>AH16+AG17</f>
        <v>#DIV/0!</v>
      </c>
      <c r="AJ17" s="121"/>
      <c r="AK17" s="33" t="s">
        <v>7</v>
      </c>
      <c r="AL17" s="33">
        <f>COUNTIF(Table278[AFTER- Item 1F], 3)</f>
        <v>0</v>
      </c>
      <c r="AM17" s="58" t="e">
        <f>AL17/AL22</f>
        <v>#DIV/0!</v>
      </c>
      <c r="AN17" s="60" t="e">
        <f>AL17/AL20</f>
        <v>#DIV/0!</v>
      </c>
      <c r="AO17" s="59" t="e">
        <f>AO16+AN17</f>
        <v>#DIV/0!</v>
      </c>
      <c r="AQ17" s="121"/>
      <c r="AR17" s="33" t="s">
        <v>7</v>
      </c>
      <c r="AS17" s="33">
        <f>COUNTIF(Table259[AFTER -Item 1G],3)</f>
        <v>0</v>
      </c>
      <c r="AT17" s="58" t="e">
        <f>AS17/AS22</f>
        <v>#DIV/0!</v>
      </c>
      <c r="AU17" s="60" t="e">
        <f>AS17/AS20</f>
        <v>#DIV/0!</v>
      </c>
      <c r="AV17" s="59" t="e">
        <f>AV16+AU17</f>
        <v>#DIV/0!</v>
      </c>
      <c r="AX17" s="121"/>
      <c r="AY17" s="33" t="s">
        <v>7</v>
      </c>
      <c r="AZ17" s="33">
        <f>COUNTIF(Table2610[AFTER - Item 1H],3)</f>
        <v>0</v>
      </c>
      <c r="BA17" s="58" t="e">
        <f>AZ17/AZ22</f>
        <v>#DIV/0!</v>
      </c>
      <c r="BB17" s="60" t="e">
        <f>AZ17/AZ20</f>
        <v>#DIV/0!</v>
      </c>
      <c r="BC17" s="59" t="e">
        <f>BC16+BB17</f>
        <v>#DIV/0!</v>
      </c>
      <c r="BE17" s="121"/>
      <c r="BF17" s="33" t="s">
        <v>7</v>
      </c>
      <c r="BG17" s="33">
        <f>COUNTIF(Table2711[AFTER - Item 1I],3)</f>
        <v>0</v>
      </c>
      <c r="BH17" s="58" t="e">
        <f>BG17/BG22</f>
        <v>#DIV/0!</v>
      </c>
      <c r="BI17" s="60" t="e">
        <f>BG17/BG20</f>
        <v>#DIV/0!</v>
      </c>
      <c r="BJ17" s="59" t="e">
        <f>BJ16+BI17</f>
        <v>#DIV/0!</v>
      </c>
      <c r="BL17" s="121"/>
      <c r="BM17" s="33" t="s">
        <v>7</v>
      </c>
      <c r="BN17" s="33">
        <f>COUNTIF(Table27812[AFTER- Item 1J],3)</f>
        <v>0</v>
      </c>
      <c r="BO17" s="58" t="e">
        <f>BN17/BN22</f>
        <v>#DIV/0!</v>
      </c>
      <c r="BP17" s="60" t="e">
        <f>BN17/BN20</f>
        <v>#DIV/0!</v>
      </c>
      <c r="BQ17" s="59" t="e">
        <f>BQ16+BP17</f>
        <v>#DIV/0!</v>
      </c>
    </row>
    <row r="18" spans="1:69" x14ac:dyDescent="0.2">
      <c r="A18" s="127"/>
      <c r="B18" s="33" t="s">
        <v>5</v>
      </c>
      <c r="C18" s="33">
        <f>COUNTIF(Table2[AFTER - Item 1A],2)</f>
        <v>0</v>
      </c>
      <c r="D18" s="58" t="e">
        <f>C18/C22</f>
        <v>#DIV/0!</v>
      </c>
      <c r="E18" s="60" t="e">
        <f>C18/C20</f>
        <v>#DIV/0!</v>
      </c>
      <c r="F18" s="59" t="e">
        <f>F17+E18</f>
        <v>#DIV/0!</v>
      </c>
      <c r="H18" s="121"/>
      <c r="I18" s="33" t="s">
        <v>5</v>
      </c>
      <c r="J18" s="33">
        <f>COUNTIF(Table24[AFTER - Item 1B],2)</f>
        <v>0</v>
      </c>
      <c r="K18" s="39" t="e">
        <f>J18/J22</f>
        <v>#DIV/0!</v>
      </c>
      <c r="L18" s="40" t="e">
        <f>J18/J20</f>
        <v>#DIV/0!</v>
      </c>
      <c r="M18" s="42" t="e">
        <f>M17+L18</f>
        <v>#DIV/0!</v>
      </c>
      <c r="O18" s="121"/>
      <c r="P18" s="33" t="s">
        <v>5</v>
      </c>
      <c r="Q18" s="33">
        <f>COUNTIF(Table25[AFTER -Item 1C], 2)</f>
        <v>0</v>
      </c>
      <c r="R18" s="58" t="e">
        <f>Q18/Q22</f>
        <v>#DIV/0!</v>
      </c>
      <c r="S18" s="60" t="e">
        <f>Q18/Q20</f>
        <v>#DIV/0!</v>
      </c>
      <c r="T18" s="59" t="e">
        <f>T17+S18</f>
        <v>#DIV/0!</v>
      </c>
      <c r="V18" s="121"/>
      <c r="W18" s="33" t="s">
        <v>5</v>
      </c>
      <c r="X18" s="33">
        <f>COUNTIF(Table26[AFTER - Item 1D], 2)</f>
        <v>0</v>
      </c>
      <c r="Y18" s="58" t="e">
        <f>X18/X22</f>
        <v>#DIV/0!</v>
      </c>
      <c r="Z18" s="60" t="e">
        <f>X18/X20</f>
        <v>#DIV/0!</v>
      </c>
      <c r="AA18" s="59" t="e">
        <f>AA17+Z18</f>
        <v>#DIV/0!</v>
      </c>
      <c r="AC18" s="121"/>
      <c r="AD18" s="33" t="s">
        <v>5</v>
      </c>
      <c r="AE18" s="33">
        <f>COUNTIF(Table27[AFTER - Item 1E], 2)</f>
        <v>0</v>
      </c>
      <c r="AF18" s="58" t="e">
        <f>AE18/AE22</f>
        <v>#DIV/0!</v>
      </c>
      <c r="AG18" s="60" t="e">
        <f>AE18/AE20</f>
        <v>#DIV/0!</v>
      </c>
      <c r="AH18" s="59" t="e">
        <f>AH17+AG18</f>
        <v>#DIV/0!</v>
      </c>
      <c r="AJ18" s="121"/>
      <c r="AK18" s="33" t="s">
        <v>5</v>
      </c>
      <c r="AL18" s="33">
        <f>COUNTIF(Table278[AFTER- Item 1F], 2)</f>
        <v>0</v>
      </c>
      <c r="AM18" s="58" t="e">
        <f>AL18/AL22</f>
        <v>#DIV/0!</v>
      </c>
      <c r="AN18" s="60" t="e">
        <f>AL18/AL20</f>
        <v>#DIV/0!</v>
      </c>
      <c r="AO18" s="59" t="e">
        <f>AO17+AN18</f>
        <v>#DIV/0!</v>
      </c>
      <c r="AQ18" s="121"/>
      <c r="AR18" s="33" t="s">
        <v>5</v>
      </c>
      <c r="AS18" s="33">
        <f>COUNTIF(Table259[AFTER -Item 1G],2)</f>
        <v>0</v>
      </c>
      <c r="AT18" s="58" t="e">
        <f>AS18/AS22</f>
        <v>#DIV/0!</v>
      </c>
      <c r="AU18" s="60" t="e">
        <f>AS18/AS20</f>
        <v>#DIV/0!</v>
      </c>
      <c r="AV18" s="59" t="e">
        <f>AV17+AU18</f>
        <v>#DIV/0!</v>
      </c>
      <c r="AX18" s="121"/>
      <c r="AY18" s="33" t="s">
        <v>5</v>
      </c>
      <c r="AZ18" s="33">
        <f>COUNTIF(Table2610[AFTER - Item 1H],2)</f>
        <v>0</v>
      </c>
      <c r="BA18" s="58" t="e">
        <f>AZ18/AZ22</f>
        <v>#DIV/0!</v>
      </c>
      <c r="BB18" s="60" t="e">
        <f>AZ18/AZ20</f>
        <v>#DIV/0!</v>
      </c>
      <c r="BC18" s="59" t="e">
        <f>BC17+BB18</f>
        <v>#DIV/0!</v>
      </c>
      <c r="BE18" s="121"/>
      <c r="BF18" s="33" t="s">
        <v>5</v>
      </c>
      <c r="BG18" s="33">
        <f>COUNTIF(Table2711[AFTER - Item 1I],2)</f>
        <v>0</v>
      </c>
      <c r="BH18" s="58" t="e">
        <f>BG18/BG22</f>
        <v>#DIV/0!</v>
      </c>
      <c r="BI18" s="60" t="e">
        <f>BG18/BG20</f>
        <v>#DIV/0!</v>
      </c>
      <c r="BJ18" s="59" t="e">
        <f>BJ17+BI18</f>
        <v>#DIV/0!</v>
      </c>
      <c r="BL18" s="121"/>
      <c r="BM18" s="33" t="s">
        <v>5</v>
      </c>
      <c r="BN18" s="33">
        <f>COUNTIF(Table27812[AFTER- Item 1J],2)</f>
        <v>0</v>
      </c>
      <c r="BO18" s="58" t="e">
        <f>BN18/BN22</f>
        <v>#DIV/0!</v>
      </c>
      <c r="BP18" s="60" t="e">
        <f>BN18/BN20</f>
        <v>#DIV/0!</v>
      </c>
      <c r="BQ18" s="59" t="e">
        <f>BQ17+BP18</f>
        <v>#DIV/0!</v>
      </c>
    </row>
    <row r="19" spans="1:69" x14ac:dyDescent="0.2">
      <c r="A19" s="127"/>
      <c r="B19" s="33" t="s">
        <v>3</v>
      </c>
      <c r="C19" s="33">
        <f>COUNTIF(Table2[AFTER - Item 1A],1)</f>
        <v>0</v>
      </c>
      <c r="D19" s="58" t="e">
        <f>C19/C22</f>
        <v>#DIV/0!</v>
      </c>
      <c r="E19" s="60" t="e">
        <f>C19/C20</f>
        <v>#DIV/0!</v>
      </c>
      <c r="F19" s="59" t="e">
        <f>F18+E19</f>
        <v>#DIV/0!</v>
      </c>
      <c r="H19" s="121"/>
      <c r="I19" s="33" t="s">
        <v>3</v>
      </c>
      <c r="J19" s="33">
        <f>COUNTIF(Table24[AFTER - Item 1B],1)</f>
        <v>0</v>
      </c>
      <c r="K19" s="39" t="e">
        <f>J19/J22</f>
        <v>#DIV/0!</v>
      </c>
      <c r="L19" s="40" t="e">
        <f>J19/J20</f>
        <v>#DIV/0!</v>
      </c>
      <c r="M19" s="42" t="e">
        <f>M18+L19</f>
        <v>#DIV/0!</v>
      </c>
      <c r="O19" s="121"/>
      <c r="P19" s="33" t="s">
        <v>3</v>
      </c>
      <c r="Q19" s="33">
        <f>COUNTIF(Table25[AFTER -Item 1C], 1)</f>
        <v>0</v>
      </c>
      <c r="R19" s="58" t="e">
        <f>Q19/Q22</f>
        <v>#DIV/0!</v>
      </c>
      <c r="S19" s="60" t="e">
        <f>Q19/Q20</f>
        <v>#DIV/0!</v>
      </c>
      <c r="T19" s="59" t="e">
        <f>T18+S19</f>
        <v>#DIV/0!</v>
      </c>
      <c r="V19" s="121"/>
      <c r="W19" s="33" t="s">
        <v>3</v>
      </c>
      <c r="X19" s="33">
        <f>COUNTIF(Table26[AFTER - Item 1D], 1)</f>
        <v>0</v>
      </c>
      <c r="Y19" s="58" t="e">
        <f>X19/X22</f>
        <v>#DIV/0!</v>
      </c>
      <c r="Z19" s="60" t="e">
        <f>X19/X20</f>
        <v>#DIV/0!</v>
      </c>
      <c r="AA19" s="59" t="e">
        <f>AA18+Z19</f>
        <v>#DIV/0!</v>
      </c>
      <c r="AC19" s="121"/>
      <c r="AD19" s="33" t="s">
        <v>3</v>
      </c>
      <c r="AE19" s="33">
        <f>COUNTIF(Table27[AFTER - Item 1E], 1)</f>
        <v>0</v>
      </c>
      <c r="AF19" s="58" t="e">
        <f>AE19/AE22</f>
        <v>#DIV/0!</v>
      </c>
      <c r="AG19" s="60" t="e">
        <f>AE19/AE20</f>
        <v>#DIV/0!</v>
      </c>
      <c r="AH19" s="59" t="e">
        <f>AH18+AG19</f>
        <v>#DIV/0!</v>
      </c>
      <c r="AJ19" s="121"/>
      <c r="AK19" s="33" t="s">
        <v>3</v>
      </c>
      <c r="AL19" s="33">
        <f>COUNTIF(Table278[AFTER- Item 1F], 1)</f>
        <v>0</v>
      </c>
      <c r="AM19" s="58" t="e">
        <f>AL19/AL22</f>
        <v>#DIV/0!</v>
      </c>
      <c r="AN19" s="60" t="e">
        <f>AL19/AL20</f>
        <v>#DIV/0!</v>
      </c>
      <c r="AO19" s="59" t="e">
        <f>AO18+AN19</f>
        <v>#DIV/0!</v>
      </c>
      <c r="AQ19" s="121"/>
      <c r="AR19" s="33" t="s">
        <v>3</v>
      </c>
      <c r="AS19" s="33">
        <f>COUNTIF(Table259[AFTER -Item 1G],1)</f>
        <v>0</v>
      </c>
      <c r="AT19" s="58" t="e">
        <f>AS19/AS22</f>
        <v>#DIV/0!</v>
      </c>
      <c r="AU19" s="60" t="e">
        <f>AS19/AS20</f>
        <v>#DIV/0!</v>
      </c>
      <c r="AV19" s="59" t="e">
        <f>AV18+AU19</f>
        <v>#DIV/0!</v>
      </c>
      <c r="AX19" s="121"/>
      <c r="AY19" s="33" t="s">
        <v>3</v>
      </c>
      <c r="AZ19" s="33">
        <f>COUNTIF(Table2610[AFTER - Item 1H],1)</f>
        <v>0</v>
      </c>
      <c r="BA19" s="58" t="e">
        <f>AZ19/AZ22</f>
        <v>#DIV/0!</v>
      </c>
      <c r="BB19" s="60" t="e">
        <f>AZ19/AZ20</f>
        <v>#DIV/0!</v>
      </c>
      <c r="BC19" s="59" t="e">
        <f>BC18+BB19</f>
        <v>#DIV/0!</v>
      </c>
      <c r="BE19" s="121"/>
      <c r="BF19" s="33" t="s">
        <v>3</v>
      </c>
      <c r="BG19" s="33">
        <f>COUNTIF(Table2711[AFTER - Item 1I],1)</f>
        <v>0</v>
      </c>
      <c r="BH19" s="58" t="e">
        <f>BG19/BG22</f>
        <v>#DIV/0!</v>
      </c>
      <c r="BI19" s="60" t="e">
        <f>BG19/BG20</f>
        <v>#DIV/0!</v>
      </c>
      <c r="BJ19" s="59" t="e">
        <f>BJ18+BI19</f>
        <v>#DIV/0!</v>
      </c>
      <c r="BL19" s="121"/>
      <c r="BM19" s="33" t="s">
        <v>3</v>
      </c>
      <c r="BN19" s="33">
        <f>COUNTIF(Table27812[AFTER- Item 1J],1)</f>
        <v>0</v>
      </c>
      <c r="BO19" s="58" t="e">
        <f>BN19/BN22</f>
        <v>#DIV/0!</v>
      </c>
      <c r="BP19" s="60" t="e">
        <f>BN19/BN20</f>
        <v>#DIV/0!</v>
      </c>
      <c r="BQ19" s="59" t="e">
        <f>BQ18+BP19</f>
        <v>#DIV/0!</v>
      </c>
    </row>
    <row r="20" spans="1:69" x14ac:dyDescent="0.2">
      <c r="A20" s="128"/>
      <c r="B20" s="41" t="s">
        <v>66</v>
      </c>
      <c r="C20" s="33">
        <f>SUM(C16:C19)</f>
        <v>0</v>
      </c>
      <c r="D20" s="58" t="e">
        <f>SUM(D16:D19)</f>
        <v>#DIV/0!</v>
      </c>
      <c r="E20" s="60" t="e">
        <f>SUM(E16:E19)</f>
        <v>#DIV/0!</v>
      </c>
      <c r="H20" s="121"/>
      <c r="I20" s="37" t="s">
        <v>66</v>
      </c>
      <c r="J20" s="33">
        <f>SUM(J16:J19)</f>
        <v>0</v>
      </c>
      <c r="K20" s="39" t="e">
        <f>SUM(K16:K19)</f>
        <v>#DIV/0!</v>
      </c>
      <c r="L20" s="40" t="e">
        <f>SUM(L16:L19)</f>
        <v>#DIV/0!</v>
      </c>
      <c r="O20" s="121"/>
      <c r="P20" s="37" t="s">
        <v>66</v>
      </c>
      <c r="Q20" s="33">
        <f>SUM(Q16:Q19)</f>
        <v>0</v>
      </c>
      <c r="R20" s="58" t="e">
        <f>SUM(R16:R19)</f>
        <v>#DIV/0!</v>
      </c>
      <c r="S20" s="60" t="e">
        <f>SUM(S16:S19)</f>
        <v>#DIV/0!</v>
      </c>
      <c r="V20" s="121"/>
      <c r="W20" s="37" t="s">
        <v>66</v>
      </c>
      <c r="X20" s="33">
        <f>SUM(X16:X19)</f>
        <v>0</v>
      </c>
      <c r="Y20" s="58" t="e">
        <f>SUM(Y16:Y19)</f>
        <v>#DIV/0!</v>
      </c>
      <c r="Z20" s="60" t="e">
        <f>SUM(Z16:Z19)</f>
        <v>#DIV/0!</v>
      </c>
      <c r="AA20" s="56"/>
      <c r="AC20" s="121"/>
      <c r="AD20" s="37" t="s">
        <v>66</v>
      </c>
      <c r="AE20" s="33">
        <f>SUM(AE16:AE19)</f>
        <v>0</v>
      </c>
      <c r="AF20" s="58" t="e">
        <f>SUM(AF16:AF19)</f>
        <v>#DIV/0!</v>
      </c>
      <c r="AG20" s="60" t="e">
        <f>SUM(AG16:AG19)</f>
        <v>#DIV/0!</v>
      </c>
      <c r="AH20" s="56"/>
      <c r="AJ20" s="121"/>
      <c r="AK20" s="37" t="s">
        <v>66</v>
      </c>
      <c r="AL20" s="33">
        <f>SUM(AL16:AL19)</f>
        <v>0</v>
      </c>
      <c r="AM20" s="58" t="e">
        <f>SUM(AM16:AM19)</f>
        <v>#DIV/0!</v>
      </c>
      <c r="AN20" s="60" t="e">
        <f>SUM(AN16:AN19)</f>
        <v>#DIV/0!</v>
      </c>
      <c r="AO20" s="56"/>
      <c r="AQ20" s="121"/>
      <c r="AR20" s="37" t="s">
        <v>66</v>
      </c>
      <c r="AS20" s="33">
        <f>SUM(AS16:AS19)</f>
        <v>0</v>
      </c>
      <c r="AT20" s="58" t="e">
        <f>SUM(AT16:AT19)</f>
        <v>#DIV/0!</v>
      </c>
      <c r="AU20" s="60" t="e">
        <f>SUM(AU16:AU19)</f>
        <v>#DIV/0!</v>
      </c>
      <c r="AV20" s="56"/>
      <c r="AX20" s="121"/>
      <c r="AY20" s="37" t="s">
        <v>66</v>
      </c>
      <c r="AZ20" s="33">
        <f>SUM(AZ16:AZ19)</f>
        <v>0</v>
      </c>
      <c r="BA20" s="58" t="e">
        <f>SUM(BA16:BA19)</f>
        <v>#DIV/0!</v>
      </c>
      <c r="BB20" s="60" t="e">
        <f>SUM(BB16:BB19)</f>
        <v>#DIV/0!</v>
      </c>
      <c r="BC20" s="56"/>
      <c r="BE20" s="121"/>
      <c r="BF20" s="37" t="s">
        <v>66</v>
      </c>
      <c r="BG20" s="33">
        <f>SUM(BG16:BG19)</f>
        <v>0</v>
      </c>
      <c r="BH20" s="58" t="e">
        <f>SUM(BH16:BH19)</f>
        <v>#DIV/0!</v>
      </c>
      <c r="BI20" s="60" t="e">
        <f>SUM(BI16:BI19)</f>
        <v>#DIV/0!</v>
      </c>
      <c r="BJ20" s="56"/>
      <c r="BL20" s="121"/>
      <c r="BM20" s="37" t="s">
        <v>66</v>
      </c>
      <c r="BN20" s="33">
        <f>SUM(BN16:BN19)</f>
        <v>0</v>
      </c>
      <c r="BO20" s="58" t="e">
        <f>SUM(BO16:BO19)</f>
        <v>#DIV/0!</v>
      </c>
      <c r="BP20" s="60" t="e">
        <f>SUM(BP16:BP19)</f>
        <v>#DIV/0!</v>
      </c>
      <c r="BQ20" s="56"/>
    </row>
    <row r="21" spans="1:69" x14ac:dyDescent="0.2">
      <c r="A21" s="10" t="s">
        <v>67</v>
      </c>
      <c r="B21" s="33" t="s">
        <v>68</v>
      </c>
      <c r="C21" s="33">
        <f>COUNTBLANK(Table2[AFTER - Item 1A])</f>
        <v>0</v>
      </c>
      <c r="D21" s="58" t="e">
        <f>C21/C22</f>
        <v>#DIV/0!</v>
      </c>
      <c r="E21" s="15"/>
      <c r="H21" s="47" t="s">
        <v>67</v>
      </c>
      <c r="I21" s="47" t="s">
        <v>68</v>
      </c>
      <c r="J21" s="47">
        <f>COUNTBLANK(Table24[AFTER - Item 1B])</f>
        <v>0</v>
      </c>
      <c r="K21" s="48" t="e">
        <f>J21/J22</f>
        <v>#DIV/0!</v>
      </c>
      <c r="L21" s="4"/>
      <c r="O21" s="33" t="s">
        <v>67</v>
      </c>
      <c r="P21" s="33" t="s">
        <v>68</v>
      </c>
      <c r="Q21" s="33">
        <f>COUNTBLANK(Table25[AFTER -Item 1C])</f>
        <v>0</v>
      </c>
      <c r="R21" s="58" t="e">
        <f>Q21/Q22</f>
        <v>#DIV/0!</v>
      </c>
      <c r="S21" s="4"/>
      <c r="V21" s="33" t="s">
        <v>67</v>
      </c>
      <c r="W21" s="33" t="s">
        <v>68</v>
      </c>
      <c r="X21" s="33">
        <f>COUNTBLANK(Table26[AFTER - Item 1D])</f>
        <v>0</v>
      </c>
      <c r="Y21" s="58" t="e">
        <f>X21/X22</f>
        <v>#DIV/0!</v>
      </c>
      <c r="Z21" s="4"/>
      <c r="AC21" s="33" t="s">
        <v>67</v>
      </c>
      <c r="AD21" s="33" t="s">
        <v>68</v>
      </c>
      <c r="AE21" s="33">
        <f>COUNTBLANK(Table27[AFTER - Item 1E])</f>
        <v>0</v>
      </c>
      <c r="AF21" s="58" t="e">
        <f>AE21/AE22</f>
        <v>#DIV/0!</v>
      </c>
      <c r="AG21" s="4"/>
      <c r="AJ21" s="33" t="s">
        <v>67</v>
      </c>
      <c r="AK21" s="33" t="s">
        <v>68</v>
      </c>
      <c r="AL21" s="33">
        <f>COUNTBLANK(Table278[AFTER- Item 1F])</f>
        <v>0</v>
      </c>
      <c r="AM21" s="58" t="e">
        <f>AL21/AL22</f>
        <v>#DIV/0!</v>
      </c>
      <c r="AN21" s="4"/>
      <c r="AQ21" s="33" t="s">
        <v>67</v>
      </c>
      <c r="AR21" s="33" t="s">
        <v>68</v>
      </c>
      <c r="AS21" s="33">
        <f>COUNTBLANK(Table259[AFTER -Item 1G])</f>
        <v>0</v>
      </c>
      <c r="AT21" s="58" t="e">
        <f>AS21/AS22</f>
        <v>#DIV/0!</v>
      </c>
      <c r="AU21" s="4"/>
      <c r="AX21" s="33" t="s">
        <v>67</v>
      </c>
      <c r="AY21" s="33" t="s">
        <v>68</v>
      </c>
      <c r="AZ21" s="33">
        <f>COUNTBLANK(Table2610[AFTER - Item 1H])</f>
        <v>0</v>
      </c>
      <c r="BA21" s="58" t="e">
        <f>AZ21/AZ22</f>
        <v>#DIV/0!</v>
      </c>
      <c r="BB21" s="4"/>
      <c r="BE21" s="33" t="s">
        <v>67</v>
      </c>
      <c r="BF21" s="33" t="s">
        <v>68</v>
      </c>
      <c r="BG21" s="33">
        <f>COUNTBLANK(Table2711[AFTER - Item 1I])</f>
        <v>0</v>
      </c>
      <c r="BH21" s="58" t="e">
        <f>BG21/BG22</f>
        <v>#DIV/0!</v>
      </c>
      <c r="BI21" s="4"/>
      <c r="BL21" s="33" t="s">
        <v>67</v>
      </c>
      <c r="BM21" s="33" t="s">
        <v>68</v>
      </c>
      <c r="BN21" s="33">
        <f>COUNTBLANK(Table27812[AFTER- Item 1J])</f>
        <v>0</v>
      </c>
      <c r="BO21" s="58" t="e">
        <f>BN21/BN22</f>
        <v>#DIV/0!</v>
      </c>
      <c r="BP21" s="4"/>
    </row>
    <row r="22" spans="1:69" x14ac:dyDescent="0.2">
      <c r="A22" s="13" t="s">
        <v>66</v>
      </c>
      <c r="B22" s="33"/>
      <c r="C22" s="33">
        <f>SUM(C20:C21)</f>
        <v>0</v>
      </c>
      <c r="D22" s="58" t="e">
        <f>SUM(D20:D21)</f>
        <v>#DIV/0!</v>
      </c>
      <c r="E22" s="15"/>
      <c r="H22" s="37" t="s">
        <v>66</v>
      </c>
      <c r="I22" s="33"/>
      <c r="J22" s="33">
        <f>SUM(J20:J21)</f>
        <v>0</v>
      </c>
      <c r="K22" s="39" t="e">
        <f>SUM(K20:K21)</f>
        <v>#DIV/0!</v>
      </c>
      <c r="L22" s="15"/>
      <c r="O22" s="37" t="s">
        <v>66</v>
      </c>
      <c r="P22" s="33"/>
      <c r="Q22" s="33">
        <f>SUM(Q20:Q21)</f>
        <v>0</v>
      </c>
      <c r="R22" s="58" t="e">
        <f>SUM(R20:R21)</f>
        <v>#DIV/0!</v>
      </c>
      <c r="S22" s="15"/>
      <c r="V22" s="37" t="s">
        <v>66</v>
      </c>
      <c r="W22" s="33"/>
      <c r="X22" s="33">
        <f>SUM(X20:X21)</f>
        <v>0</v>
      </c>
      <c r="Y22" s="58" t="e">
        <f>SUM(Y20:Y21)</f>
        <v>#DIV/0!</v>
      </c>
      <c r="Z22" s="15"/>
      <c r="AC22" s="37" t="s">
        <v>66</v>
      </c>
      <c r="AD22" s="33"/>
      <c r="AE22" s="33">
        <f>SUM(AE20:AE21)</f>
        <v>0</v>
      </c>
      <c r="AF22" s="58" t="e">
        <f>SUM(AF20:AF21)</f>
        <v>#DIV/0!</v>
      </c>
      <c r="AG22" s="15"/>
      <c r="AJ22" s="37" t="s">
        <v>66</v>
      </c>
      <c r="AK22" s="33"/>
      <c r="AL22" s="33">
        <f>SUM(AL20:AL21)</f>
        <v>0</v>
      </c>
      <c r="AM22" s="58" t="e">
        <f>SUM(AM20:AM21)</f>
        <v>#DIV/0!</v>
      </c>
      <c r="AN22" s="15"/>
      <c r="AQ22" s="37" t="s">
        <v>66</v>
      </c>
      <c r="AR22" s="33"/>
      <c r="AS22" s="33">
        <f>SUM(AS20:AS21)</f>
        <v>0</v>
      </c>
      <c r="AT22" s="58" t="e">
        <f>SUM(AT20:AT21)</f>
        <v>#DIV/0!</v>
      </c>
      <c r="AU22" s="15"/>
      <c r="AX22" s="37" t="s">
        <v>66</v>
      </c>
      <c r="AY22" s="33"/>
      <c r="AZ22" s="33">
        <f>SUM(AZ20:AZ21)</f>
        <v>0</v>
      </c>
      <c r="BA22" s="58" t="e">
        <f>SUM(BA20:BA21)</f>
        <v>#DIV/0!</v>
      </c>
      <c r="BB22" s="15"/>
      <c r="BE22" s="37" t="s">
        <v>66</v>
      </c>
      <c r="BF22" s="33"/>
      <c r="BG22" s="33">
        <f>SUM(BG20:BG21)</f>
        <v>0</v>
      </c>
      <c r="BH22" s="58" t="e">
        <f>SUM(BH20:BH21)</f>
        <v>#DIV/0!</v>
      </c>
      <c r="BI22" s="15"/>
      <c r="BL22" s="37" t="s">
        <v>66</v>
      </c>
      <c r="BM22" s="33"/>
      <c r="BN22" s="33">
        <f>SUM(BN20:BN21)</f>
        <v>0</v>
      </c>
      <c r="BO22" s="58" t="e">
        <f>SUM(BO20:BO21)</f>
        <v>#DIV/0!</v>
      </c>
      <c r="BP22" s="15"/>
    </row>
    <row r="26" spans="1:69" x14ac:dyDescent="0.2">
      <c r="A26" s="103" t="s">
        <v>70</v>
      </c>
      <c r="B26" s="103"/>
      <c r="C26" s="103"/>
      <c r="D26" s="103"/>
      <c r="E26" s="103"/>
      <c r="F26" s="103"/>
      <c r="H26" s="103" t="s">
        <v>70</v>
      </c>
      <c r="I26" s="103"/>
      <c r="J26" s="103"/>
      <c r="K26" s="103"/>
      <c r="L26" s="103"/>
      <c r="M26" s="103"/>
      <c r="O26" s="103" t="s">
        <v>70</v>
      </c>
      <c r="P26" s="103"/>
      <c r="Q26" s="103"/>
      <c r="R26" s="103"/>
      <c r="S26" s="103"/>
      <c r="T26" s="103"/>
      <c r="V26" s="103" t="s">
        <v>70</v>
      </c>
      <c r="W26" s="103"/>
      <c r="X26" s="103"/>
      <c r="Y26" s="103"/>
      <c r="Z26" s="103"/>
      <c r="AA26" s="103"/>
      <c r="AC26" s="103" t="s">
        <v>70</v>
      </c>
      <c r="AD26" s="103"/>
      <c r="AE26" s="103"/>
      <c r="AF26" s="103"/>
      <c r="AG26" s="103"/>
      <c r="AH26" s="103"/>
      <c r="AJ26" s="103" t="s">
        <v>70</v>
      </c>
      <c r="AK26" s="103"/>
      <c r="AL26" s="103"/>
      <c r="AM26" s="103"/>
      <c r="AN26" s="103"/>
      <c r="AO26" s="103"/>
      <c r="AQ26" s="103" t="s">
        <v>70</v>
      </c>
      <c r="AR26" s="103"/>
      <c r="AS26" s="103"/>
      <c r="AT26" s="103"/>
      <c r="AU26" s="103"/>
      <c r="AV26" s="103"/>
      <c r="AX26" s="103" t="s">
        <v>70</v>
      </c>
      <c r="AY26" s="103"/>
      <c r="AZ26" s="103"/>
      <c r="BA26" s="103"/>
      <c r="BB26" s="103"/>
      <c r="BC26" s="103"/>
      <c r="BE26" s="103" t="s">
        <v>70</v>
      </c>
      <c r="BF26" s="103"/>
      <c r="BG26" s="103"/>
      <c r="BH26" s="103"/>
      <c r="BI26" s="103"/>
      <c r="BJ26" s="103"/>
      <c r="BL26" s="103" t="s">
        <v>70</v>
      </c>
      <c r="BM26" s="103"/>
      <c r="BN26" s="103"/>
      <c r="BO26" s="103"/>
      <c r="BP26" s="103"/>
      <c r="BQ26" s="103"/>
    </row>
    <row r="27" spans="1:69" x14ac:dyDescent="0.2">
      <c r="A27" s="117"/>
      <c r="B27" s="117"/>
      <c r="C27" s="32" t="s">
        <v>49</v>
      </c>
      <c r="D27" s="32" t="s">
        <v>64</v>
      </c>
      <c r="E27" s="32" t="s">
        <v>50</v>
      </c>
      <c r="F27" s="32" t="s">
        <v>51</v>
      </c>
      <c r="H27" s="117"/>
      <c r="I27" s="117"/>
      <c r="J27" s="32" t="s">
        <v>49</v>
      </c>
      <c r="K27" s="32" t="s">
        <v>64</v>
      </c>
      <c r="L27" s="32" t="s">
        <v>50</v>
      </c>
      <c r="M27" s="32" t="s">
        <v>51</v>
      </c>
      <c r="O27" s="117"/>
      <c r="P27" s="117"/>
      <c r="Q27" s="32" t="s">
        <v>49</v>
      </c>
      <c r="R27" s="32" t="s">
        <v>64</v>
      </c>
      <c r="S27" s="32" t="s">
        <v>50</v>
      </c>
      <c r="T27" s="32" t="s">
        <v>51</v>
      </c>
      <c r="V27" s="117"/>
      <c r="W27" s="117"/>
      <c r="X27" s="32" t="s">
        <v>49</v>
      </c>
      <c r="Y27" s="32" t="s">
        <v>64</v>
      </c>
      <c r="Z27" s="32" t="s">
        <v>50</v>
      </c>
      <c r="AA27" s="32" t="s">
        <v>51</v>
      </c>
      <c r="AC27" s="117"/>
      <c r="AD27" s="117"/>
      <c r="AE27" s="32" t="s">
        <v>49</v>
      </c>
      <c r="AF27" s="32" t="s">
        <v>64</v>
      </c>
      <c r="AG27" s="32" t="s">
        <v>50</v>
      </c>
      <c r="AH27" s="32" t="s">
        <v>51</v>
      </c>
      <c r="AJ27" s="117"/>
      <c r="AK27" s="117"/>
      <c r="AL27" s="32" t="s">
        <v>49</v>
      </c>
      <c r="AM27" s="32" t="s">
        <v>64</v>
      </c>
      <c r="AN27" s="32" t="s">
        <v>50</v>
      </c>
      <c r="AO27" s="32" t="s">
        <v>51</v>
      </c>
      <c r="AQ27" s="117"/>
      <c r="AR27" s="117"/>
      <c r="AS27" s="32" t="s">
        <v>49</v>
      </c>
      <c r="AT27" s="32" t="s">
        <v>64</v>
      </c>
      <c r="AU27" s="32" t="s">
        <v>50</v>
      </c>
      <c r="AV27" s="32" t="s">
        <v>51</v>
      </c>
      <c r="AX27" s="117"/>
      <c r="AY27" s="117"/>
      <c r="AZ27" s="32" t="s">
        <v>49</v>
      </c>
      <c r="BA27" s="32" t="s">
        <v>64</v>
      </c>
      <c r="BB27" s="32" t="s">
        <v>50</v>
      </c>
      <c r="BC27" s="32" t="s">
        <v>51</v>
      </c>
      <c r="BE27" s="117"/>
      <c r="BF27" s="117"/>
      <c r="BG27" s="32" t="s">
        <v>49</v>
      </c>
      <c r="BH27" s="32" t="s">
        <v>64</v>
      </c>
      <c r="BI27" s="32" t="s">
        <v>50</v>
      </c>
      <c r="BJ27" s="32" t="s">
        <v>51</v>
      </c>
      <c r="BL27" s="117"/>
      <c r="BM27" s="117"/>
      <c r="BN27" s="32" t="s">
        <v>49</v>
      </c>
      <c r="BO27" s="32" t="s">
        <v>64</v>
      </c>
      <c r="BP27" s="32" t="s">
        <v>50</v>
      </c>
      <c r="BQ27" s="32" t="s">
        <v>51</v>
      </c>
    </row>
    <row r="28" spans="1:69" x14ac:dyDescent="0.2">
      <c r="A28" s="132" t="s">
        <v>65</v>
      </c>
      <c r="B28" s="33" t="s">
        <v>71</v>
      </c>
      <c r="C28" s="33">
        <f>COUNTIF(Table12[Item 1A], "&gt;0")</f>
        <v>0</v>
      </c>
      <c r="D28" s="59" t="e">
        <f>C28/C33</f>
        <v>#DIV/0!</v>
      </c>
      <c r="E28" s="61" t="e">
        <f>C28/C31</f>
        <v>#DIV/0!</v>
      </c>
      <c r="F28" s="59" t="e">
        <f>E28</f>
        <v>#DIV/0!</v>
      </c>
      <c r="H28" s="121" t="s">
        <v>65</v>
      </c>
      <c r="I28" s="33" t="s">
        <v>71</v>
      </c>
      <c r="J28" s="33">
        <f>COUNTIF(Table13[Item 1B], "&gt;0")</f>
        <v>0</v>
      </c>
      <c r="K28" s="59" t="e">
        <f>J28/J33</f>
        <v>#DIV/0!</v>
      </c>
      <c r="L28" s="61" t="e">
        <f>J28/J31</f>
        <v>#DIV/0!</v>
      </c>
      <c r="M28" s="59" t="e">
        <f>L28</f>
        <v>#DIV/0!</v>
      </c>
      <c r="O28" s="121" t="s">
        <v>65</v>
      </c>
      <c r="P28" s="33" t="s">
        <v>71</v>
      </c>
      <c r="Q28" s="33">
        <f>COUNTIF(Table14[Item 1C], "&gt;0")</f>
        <v>0</v>
      </c>
      <c r="R28" s="59" t="e">
        <f>Q28/Q33</f>
        <v>#DIV/0!</v>
      </c>
      <c r="S28" s="63" t="e">
        <f>Q28/Q31</f>
        <v>#DIV/0!</v>
      </c>
      <c r="T28" s="59" t="e">
        <f>S28</f>
        <v>#DIV/0!</v>
      </c>
      <c r="V28" s="121" t="s">
        <v>65</v>
      </c>
      <c r="W28" s="33" t="s">
        <v>71</v>
      </c>
      <c r="X28" s="33">
        <f>COUNTIF(Table15[Item 1D], "&gt;0")</f>
        <v>0</v>
      </c>
      <c r="Y28" s="59" t="e">
        <f>X28/X33</f>
        <v>#DIV/0!</v>
      </c>
      <c r="Z28" s="61" t="e">
        <f>X28/X31</f>
        <v>#DIV/0!</v>
      </c>
      <c r="AA28" s="59" t="e">
        <f>Z28</f>
        <v>#DIV/0!</v>
      </c>
      <c r="AC28" s="121" t="s">
        <v>65</v>
      </c>
      <c r="AD28" s="33" t="s">
        <v>71</v>
      </c>
      <c r="AE28" s="33">
        <f>COUNTIF(Table16[Item 1E], "&gt;0")</f>
        <v>0</v>
      </c>
      <c r="AF28" s="59" t="e">
        <f>AE28/AE33</f>
        <v>#DIV/0!</v>
      </c>
      <c r="AG28" s="61" t="e">
        <f>AE28/AE31</f>
        <v>#DIV/0!</v>
      </c>
      <c r="AH28" s="59" t="e">
        <f>AG28</f>
        <v>#DIV/0!</v>
      </c>
      <c r="AJ28" s="121" t="s">
        <v>65</v>
      </c>
      <c r="AK28" s="33" t="s">
        <v>71</v>
      </c>
      <c r="AL28" s="33">
        <f>COUNTIF(Table17[Item 1F], "&gt;0")</f>
        <v>0</v>
      </c>
      <c r="AM28" s="59" t="e">
        <f>AL28/AL33</f>
        <v>#DIV/0!</v>
      </c>
      <c r="AN28" s="61" t="e">
        <f>AL28/AL31</f>
        <v>#DIV/0!</v>
      </c>
      <c r="AO28" s="59" t="e">
        <f>AN28</f>
        <v>#DIV/0!</v>
      </c>
      <c r="AQ28" s="121" t="s">
        <v>65</v>
      </c>
      <c r="AR28" s="33" t="s">
        <v>71</v>
      </c>
      <c r="AS28" s="33">
        <f>COUNTIF(Table1219[Item 1G], "&gt;0")</f>
        <v>0</v>
      </c>
      <c r="AT28" s="59" t="e">
        <f>AS28/AS33</f>
        <v>#DIV/0!</v>
      </c>
      <c r="AU28" s="61" t="e">
        <f>AS28/AS31</f>
        <v>#DIV/0!</v>
      </c>
      <c r="AV28" s="59" t="e">
        <f>AU28</f>
        <v>#DIV/0!</v>
      </c>
      <c r="AX28" s="121" t="s">
        <v>65</v>
      </c>
      <c r="AY28" s="33" t="s">
        <v>71</v>
      </c>
      <c r="AZ28" s="33">
        <f>COUNTIF(Table1220[Item 1H], "&gt;0")</f>
        <v>0</v>
      </c>
      <c r="BA28" s="59" t="e">
        <f>AZ28/AZ33</f>
        <v>#DIV/0!</v>
      </c>
      <c r="BB28" s="61" t="e">
        <f>AZ28/AZ31</f>
        <v>#DIV/0!</v>
      </c>
      <c r="BC28" s="59" t="e">
        <f>BB28</f>
        <v>#DIV/0!</v>
      </c>
      <c r="BE28" s="121" t="s">
        <v>65</v>
      </c>
      <c r="BF28" s="33" t="s">
        <v>71</v>
      </c>
      <c r="BG28" s="33">
        <f>COUNTIF(Table1221[Item 1I], "&gt;0")</f>
        <v>0</v>
      </c>
      <c r="BH28" s="59" t="e">
        <f>BG28/BG33</f>
        <v>#DIV/0!</v>
      </c>
      <c r="BI28" s="61" t="e">
        <f>BG28/BG31</f>
        <v>#DIV/0!</v>
      </c>
      <c r="BJ28" s="59" t="e">
        <f>BI28</f>
        <v>#DIV/0!</v>
      </c>
      <c r="BL28" s="121" t="s">
        <v>65</v>
      </c>
      <c r="BM28" s="33" t="s">
        <v>71</v>
      </c>
      <c r="BN28" s="33">
        <f>COUNTIF(Table1224[Item 1J], "&gt;0")</f>
        <v>0</v>
      </c>
      <c r="BO28" s="59" t="e">
        <f>BN28/BN33</f>
        <v>#DIV/0!</v>
      </c>
      <c r="BP28" s="61" t="e">
        <f>BN28/BN31</f>
        <v>#DIV/0!</v>
      </c>
      <c r="BQ28" s="59" t="e">
        <f>BP28</f>
        <v>#DIV/0!</v>
      </c>
    </row>
    <row r="29" spans="1:69" x14ac:dyDescent="0.2">
      <c r="A29" s="121"/>
      <c r="B29" s="33" t="s">
        <v>72</v>
      </c>
      <c r="C29" s="33">
        <f>COUNTIF(Table12[Item 1A], "0")</f>
        <v>0</v>
      </c>
      <c r="D29" s="59" t="e">
        <f>C29/C33</f>
        <v>#DIV/0!</v>
      </c>
      <c r="E29" s="61" t="e">
        <f>C29/C31</f>
        <v>#DIV/0!</v>
      </c>
      <c r="F29" s="59" t="e">
        <f>F28+E29</f>
        <v>#DIV/0!</v>
      </c>
      <c r="H29" s="121"/>
      <c r="I29" s="33" t="s">
        <v>72</v>
      </c>
      <c r="J29" s="33">
        <f>COUNTIF(Table13[Item 1B], "0")</f>
        <v>0</v>
      </c>
      <c r="K29" s="59" t="e">
        <f>J29/J33</f>
        <v>#DIV/0!</v>
      </c>
      <c r="L29" s="61" t="e">
        <f>J29/J31</f>
        <v>#DIV/0!</v>
      </c>
      <c r="M29" s="59" t="e">
        <f>M28+L29</f>
        <v>#DIV/0!</v>
      </c>
      <c r="O29" s="121"/>
      <c r="P29" s="33" t="s">
        <v>72</v>
      </c>
      <c r="Q29" s="33">
        <f>COUNTIF(Table14[Item 1C], "0")</f>
        <v>0</v>
      </c>
      <c r="R29" s="59" t="e">
        <f>Q29/Q33</f>
        <v>#DIV/0!</v>
      </c>
      <c r="S29" s="63" t="e">
        <f>Q29/Q31</f>
        <v>#DIV/0!</v>
      </c>
      <c r="T29" s="59" t="e">
        <f>T28+S29</f>
        <v>#DIV/0!</v>
      </c>
      <c r="V29" s="121"/>
      <c r="W29" s="33" t="s">
        <v>72</v>
      </c>
      <c r="X29" s="33">
        <f>COUNTIF(Table15[Item 1D], "0")</f>
        <v>0</v>
      </c>
      <c r="Y29" s="59" t="e">
        <f>X29/X33</f>
        <v>#DIV/0!</v>
      </c>
      <c r="Z29" s="61" t="e">
        <f>X29/X31</f>
        <v>#DIV/0!</v>
      </c>
      <c r="AA29" s="59" t="e">
        <f>AA28+Z29</f>
        <v>#DIV/0!</v>
      </c>
      <c r="AC29" s="121"/>
      <c r="AD29" s="33" t="s">
        <v>72</v>
      </c>
      <c r="AE29" s="33">
        <f>COUNTIF(Table16[Item 1E], "0")</f>
        <v>0</v>
      </c>
      <c r="AF29" s="59" t="e">
        <f>AE29/AE33</f>
        <v>#DIV/0!</v>
      </c>
      <c r="AG29" s="61" t="e">
        <f>AE29/AE31</f>
        <v>#DIV/0!</v>
      </c>
      <c r="AH29" s="59" t="e">
        <f>AH28+AG29</f>
        <v>#DIV/0!</v>
      </c>
      <c r="AJ29" s="121"/>
      <c r="AK29" s="33" t="s">
        <v>72</v>
      </c>
      <c r="AL29" s="33">
        <f>COUNTIF(Table17[Item 1F], "0")</f>
        <v>0</v>
      </c>
      <c r="AM29" s="59" t="e">
        <f>AL29/AL33</f>
        <v>#DIV/0!</v>
      </c>
      <c r="AN29" s="61" t="e">
        <f>AL29/AL31</f>
        <v>#DIV/0!</v>
      </c>
      <c r="AO29" s="59" t="e">
        <f>AO28+AN29</f>
        <v>#DIV/0!</v>
      </c>
      <c r="AQ29" s="121"/>
      <c r="AR29" s="33" t="s">
        <v>72</v>
      </c>
      <c r="AS29" s="33">
        <f>COUNTIF(Table1219[Item 1G], "0")</f>
        <v>0</v>
      </c>
      <c r="AT29" s="59" t="e">
        <f>AS29/AS33</f>
        <v>#DIV/0!</v>
      </c>
      <c r="AU29" s="61" t="e">
        <f>AS29/AS31</f>
        <v>#DIV/0!</v>
      </c>
      <c r="AV29" s="59" t="e">
        <f>AV28+AU29</f>
        <v>#DIV/0!</v>
      </c>
      <c r="AX29" s="121"/>
      <c r="AY29" s="33" t="s">
        <v>72</v>
      </c>
      <c r="AZ29" s="33">
        <f>COUNTIF(Table1220[Item 1H], "0")</f>
        <v>0</v>
      </c>
      <c r="BA29" s="59" t="e">
        <f>AZ29/AZ33</f>
        <v>#DIV/0!</v>
      </c>
      <c r="BB29" s="61" t="e">
        <f>AZ29/AZ31</f>
        <v>#DIV/0!</v>
      </c>
      <c r="BC29" s="59" t="e">
        <f>BC28+BB29</f>
        <v>#DIV/0!</v>
      </c>
      <c r="BE29" s="121"/>
      <c r="BF29" s="33" t="s">
        <v>72</v>
      </c>
      <c r="BG29" s="33">
        <f>COUNTIF(Table1221[Item 1I], "0")</f>
        <v>0</v>
      </c>
      <c r="BH29" s="59" t="e">
        <f>BG29/BG33</f>
        <v>#DIV/0!</v>
      </c>
      <c r="BI29" s="61" t="e">
        <f>BG29/BG31</f>
        <v>#DIV/0!</v>
      </c>
      <c r="BJ29" s="59" t="e">
        <f>BJ28+BI29</f>
        <v>#DIV/0!</v>
      </c>
      <c r="BL29" s="121"/>
      <c r="BM29" s="33" t="s">
        <v>72</v>
      </c>
      <c r="BN29" s="33">
        <f>COUNTIF(Table1224[Item 1J], "0")</f>
        <v>0</v>
      </c>
      <c r="BO29" s="59" t="e">
        <f>BN29/BN33</f>
        <v>#DIV/0!</v>
      </c>
      <c r="BP29" s="61" t="e">
        <f>BN29/BN31</f>
        <v>#DIV/0!</v>
      </c>
      <c r="BQ29" s="59" t="e">
        <f>BQ28+BP29</f>
        <v>#DIV/0!</v>
      </c>
    </row>
    <row r="30" spans="1:69" x14ac:dyDescent="0.2">
      <c r="A30" s="121"/>
      <c r="B30" s="33" t="s">
        <v>73</v>
      </c>
      <c r="C30" s="33">
        <f>COUNTIF(Table12[Item 1A], "&lt;0")</f>
        <v>0</v>
      </c>
      <c r="D30" s="59" t="e">
        <f>C30/C33</f>
        <v>#DIV/0!</v>
      </c>
      <c r="E30" s="61" t="e">
        <f>C30/C31</f>
        <v>#DIV/0!</v>
      </c>
      <c r="F30" s="59" t="e">
        <f>F29+E30</f>
        <v>#DIV/0!</v>
      </c>
      <c r="H30" s="121"/>
      <c r="I30" s="33" t="s">
        <v>73</v>
      </c>
      <c r="J30" s="33">
        <f>COUNTIF(Table13[Item 1B], "&lt;0")</f>
        <v>0</v>
      </c>
      <c r="K30" s="59" t="e">
        <f>J30/J33</f>
        <v>#DIV/0!</v>
      </c>
      <c r="L30" s="61" t="e">
        <f>J30/J31</f>
        <v>#DIV/0!</v>
      </c>
      <c r="M30" s="59" t="e">
        <f>M29+L30</f>
        <v>#DIV/0!</v>
      </c>
      <c r="O30" s="121"/>
      <c r="P30" s="33" t="s">
        <v>73</v>
      </c>
      <c r="Q30" s="33">
        <f>COUNTIF(Table14[Item 1C], "&lt;0")</f>
        <v>0</v>
      </c>
      <c r="R30" s="59" t="e">
        <f>Q30/Q33</f>
        <v>#DIV/0!</v>
      </c>
      <c r="S30" s="63" t="e">
        <f>Q30/Q31</f>
        <v>#DIV/0!</v>
      </c>
      <c r="T30" s="59" t="e">
        <f>T29+S30</f>
        <v>#DIV/0!</v>
      </c>
      <c r="V30" s="121"/>
      <c r="W30" s="33" t="s">
        <v>73</v>
      </c>
      <c r="X30" s="33">
        <f>COUNTIF(Table15[Item 1D], "&lt;0")</f>
        <v>0</v>
      </c>
      <c r="Y30" s="59" t="e">
        <f>X30/X33</f>
        <v>#DIV/0!</v>
      </c>
      <c r="Z30" s="61" t="e">
        <f>X30/X31</f>
        <v>#DIV/0!</v>
      </c>
      <c r="AA30" s="59" t="e">
        <f>AA29+Z30</f>
        <v>#DIV/0!</v>
      </c>
      <c r="AC30" s="121"/>
      <c r="AD30" s="33" t="s">
        <v>73</v>
      </c>
      <c r="AE30" s="33">
        <f>COUNTIF(Table16[Item 1E], "&lt;0")</f>
        <v>0</v>
      </c>
      <c r="AF30" s="59" t="e">
        <f>AE30/AE33</f>
        <v>#DIV/0!</v>
      </c>
      <c r="AG30" s="61" t="e">
        <f>AE30/AE31</f>
        <v>#DIV/0!</v>
      </c>
      <c r="AH30" s="59" t="e">
        <f>AH29+AG30</f>
        <v>#DIV/0!</v>
      </c>
      <c r="AJ30" s="121"/>
      <c r="AK30" s="33" t="s">
        <v>73</v>
      </c>
      <c r="AL30" s="33">
        <f>COUNTIF(Table17[Item 1F], "&lt;0")</f>
        <v>0</v>
      </c>
      <c r="AM30" s="59" t="e">
        <f>AL30/AL33</f>
        <v>#DIV/0!</v>
      </c>
      <c r="AN30" s="61" t="e">
        <f>AL30/AL31</f>
        <v>#DIV/0!</v>
      </c>
      <c r="AO30" s="59" t="e">
        <f>AO29+AN30</f>
        <v>#DIV/0!</v>
      </c>
      <c r="AQ30" s="121"/>
      <c r="AR30" s="33" t="s">
        <v>73</v>
      </c>
      <c r="AS30" s="33">
        <f>COUNTIF(Table1219[Item 1G], "&lt;0")</f>
        <v>0</v>
      </c>
      <c r="AT30" s="59" t="e">
        <f>AS30/AS33</f>
        <v>#DIV/0!</v>
      </c>
      <c r="AU30" s="61" t="e">
        <f>AS30/AS31</f>
        <v>#DIV/0!</v>
      </c>
      <c r="AV30" s="59" t="e">
        <f>AV29+AU30</f>
        <v>#DIV/0!</v>
      </c>
      <c r="AX30" s="121"/>
      <c r="AY30" s="33" t="s">
        <v>73</v>
      </c>
      <c r="AZ30" s="33">
        <f>COUNTIF(Table1220[Item 1H], "&lt;0")</f>
        <v>0</v>
      </c>
      <c r="BA30" s="59" t="e">
        <f>AZ30/AZ33</f>
        <v>#DIV/0!</v>
      </c>
      <c r="BB30" s="61" t="e">
        <f>AZ30/AZ31</f>
        <v>#DIV/0!</v>
      </c>
      <c r="BC30" s="59" t="e">
        <f>BC29+BB30</f>
        <v>#DIV/0!</v>
      </c>
      <c r="BE30" s="121"/>
      <c r="BF30" s="33" t="s">
        <v>73</v>
      </c>
      <c r="BG30" s="33">
        <f>COUNTIF(Table1221[Item 1I], "&lt;0")</f>
        <v>0</v>
      </c>
      <c r="BH30" s="59" t="e">
        <f>BG30/BG33</f>
        <v>#DIV/0!</v>
      </c>
      <c r="BI30" s="61" t="e">
        <f>BG30/BG31</f>
        <v>#DIV/0!</v>
      </c>
      <c r="BJ30" s="59" t="e">
        <f>BJ29+BI30</f>
        <v>#DIV/0!</v>
      </c>
      <c r="BL30" s="121"/>
      <c r="BM30" s="33" t="s">
        <v>73</v>
      </c>
      <c r="BN30" s="33">
        <f>COUNTIF(Table1224[Item 1J], "&lt;0")</f>
        <v>0</v>
      </c>
      <c r="BO30" s="59" t="e">
        <f>BN30/BN33</f>
        <v>#DIV/0!</v>
      </c>
      <c r="BP30" s="61" t="e">
        <f>BN30/BN31</f>
        <v>#DIV/0!</v>
      </c>
      <c r="BQ30" s="59" t="e">
        <f>BQ29+BP30</f>
        <v>#DIV/0!</v>
      </c>
    </row>
    <row r="31" spans="1:69" x14ac:dyDescent="0.2">
      <c r="A31" s="121"/>
      <c r="B31" s="41" t="s">
        <v>55</v>
      </c>
      <c r="C31" s="33">
        <f>SUM(C28:C30)</f>
        <v>0</v>
      </c>
      <c r="D31" s="59" t="e">
        <f>SUM(D28:D30)</f>
        <v>#DIV/0!</v>
      </c>
      <c r="E31" s="61" t="e">
        <f>SUM(E28:E30)</f>
        <v>#DIV/0!</v>
      </c>
      <c r="H31" s="121"/>
      <c r="I31" s="33" t="s">
        <v>55</v>
      </c>
      <c r="J31" s="33">
        <f>SUM(J28:J30)</f>
        <v>0</v>
      </c>
      <c r="K31" s="59" t="e">
        <f>SUM(K28:K30)</f>
        <v>#DIV/0!</v>
      </c>
      <c r="L31" s="61" t="e">
        <f>SUM(L28:L30)</f>
        <v>#DIV/0!</v>
      </c>
      <c r="O31" s="121"/>
      <c r="P31" s="33" t="s">
        <v>55</v>
      </c>
      <c r="Q31" s="33">
        <f>SUM(Q28:Q30)</f>
        <v>0</v>
      </c>
      <c r="R31" s="59" t="e">
        <f>SUM(R28:R30)</f>
        <v>#DIV/0!</v>
      </c>
      <c r="S31" s="63" t="e">
        <f>SUM(S28:S30)</f>
        <v>#DIV/0!</v>
      </c>
      <c r="V31" s="121"/>
      <c r="W31" s="33" t="s">
        <v>55</v>
      </c>
      <c r="X31" s="33">
        <f>SUM(X28:X30)</f>
        <v>0</v>
      </c>
      <c r="Y31" s="59" t="e">
        <f>SUM(Y28:Y30)</f>
        <v>#DIV/0!</v>
      </c>
      <c r="Z31" s="61" t="e">
        <f>SUM(Z28:Z30)</f>
        <v>#DIV/0!</v>
      </c>
      <c r="AC31" s="121"/>
      <c r="AD31" s="33" t="s">
        <v>55</v>
      </c>
      <c r="AE31" s="33">
        <f>SUM(AE28:AE30)</f>
        <v>0</v>
      </c>
      <c r="AF31" s="59" t="e">
        <f>SUM(AF28:AF30)</f>
        <v>#DIV/0!</v>
      </c>
      <c r="AG31" s="61" t="e">
        <f>SUM(AG28:AG30)</f>
        <v>#DIV/0!</v>
      </c>
      <c r="AH31" s="56"/>
      <c r="AJ31" s="121"/>
      <c r="AK31" s="33" t="s">
        <v>55</v>
      </c>
      <c r="AL31" s="33">
        <f>SUM(AL28:AL30)</f>
        <v>0</v>
      </c>
      <c r="AM31" s="59" t="e">
        <f>SUM(AM28:AM30)</f>
        <v>#DIV/0!</v>
      </c>
      <c r="AN31" s="61" t="e">
        <f>SUM(AN28:AN30)</f>
        <v>#DIV/0!</v>
      </c>
      <c r="AO31" s="56"/>
      <c r="AQ31" s="121"/>
      <c r="AR31" s="33" t="s">
        <v>55</v>
      </c>
      <c r="AS31" s="33">
        <f>SUM(AS28:AS30)</f>
        <v>0</v>
      </c>
      <c r="AT31" s="59" t="e">
        <f>SUM(AT28:AT30)</f>
        <v>#DIV/0!</v>
      </c>
      <c r="AU31" s="61" t="e">
        <f>SUM(AU28:AU30)</f>
        <v>#DIV/0!</v>
      </c>
      <c r="AV31" s="56"/>
      <c r="AX31" s="121"/>
      <c r="AY31" s="33" t="s">
        <v>55</v>
      </c>
      <c r="AZ31" s="33">
        <f>SUM(AZ28:AZ30)</f>
        <v>0</v>
      </c>
      <c r="BA31" s="59" t="e">
        <f>SUM(BA28:BA30)</f>
        <v>#DIV/0!</v>
      </c>
      <c r="BB31" s="61" t="e">
        <f>SUM(BB28:BB30)</f>
        <v>#DIV/0!</v>
      </c>
      <c r="BC31" s="56"/>
      <c r="BE31" s="121"/>
      <c r="BF31" s="33" t="s">
        <v>55</v>
      </c>
      <c r="BG31" s="33">
        <f>SUM(BG28:BG30)</f>
        <v>0</v>
      </c>
      <c r="BH31" s="59" t="e">
        <f>SUM(BH28:BH30)</f>
        <v>#DIV/0!</v>
      </c>
      <c r="BI31" s="61" t="e">
        <f>SUM(BI28:BI30)</f>
        <v>#DIV/0!</v>
      </c>
      <c r="BJ31" s="56"/>
      <c r="BL31" s="121"/>
      <c r="BM31" s="33" t="s">
        <v>55</v>
      </c>
      <c r="BN31" s="33">
        <f>SUM(BN28:BN30)</f>
        <v>0</v>
      </c>
      <c r="BO31" s="59" t="e">
        <f>SUM(BO28:BO30)</f>
        <v>#DIV/0!</v>
      </c>
      <c r="BP31" s="61" t="e">
        <f>SUM(BP28:BP30)</f>
        <v>#DIV/0!</v>
      </c>
      <c r="BQ31" s="56"/>
    </row>
    <row r="32" spans="1:69" x14ac:dyDescent="0.2">
      <c r="A32" s="33" t="s">
        <v>67</v>
      </c>
      <c r="B32" s="33" t="s">
        <v>68</v>
      </c>
      <c r="C32" s="33">
        <f>COUNTBLANK(Table12[Item 1A])</f>
        <v>0</v>
      </c>
      <c r="D32" s="59" t="e">
        <f>C32/C33</f>
        <v>#DIV/0!</v>
      </c>
      <c r="H32" s="33" t="s">
        <v>67</v>
      </c>
      <c r="I32" s="33" t="s">
        <v>68</v>
      </c>
      <c r="J32" s="33">
        <f>COUNTBLANK(Table13[Item 1B])</f>
        <v>0</v>
      </c>
      <c r="K32" s="59" t="e">
        <f>J32/J33</f>
        <v>#DIV/0!</v>
      </c>
      <c r="O32" s="33" t="s">
        <v>67</v>
      </c>
      <c r="P32" s="33" t="s">
        <v>68</v>
      </c>
      <c r="Q32" s="33">
        <f>COUNTBLANK(Table14[Item 1C])</f>
        <v>0</v>
      </c>
      <c r="R32" s="59" t="e">
        <f>Q32/Q33</f>
        <v>#DIV/0!</v>
      </c>
      <c r="V32" s="33" t="s">
        <v>67</v>
      </c>
      <c r="W32" s="33" t="s">
        <v>68</v>
      </c>
      <c r="X32" s="33">
        <f>COUNTBLANK(Table15[Item 1D])</f>
        <v>0</v>
      </c>
      <c r="Y32" s="59" t="e">
        <f>X32/X33</f>
        <v>#DIV/0!</v>
      </c>
      <c r="Z32" s="56"/>
      <c r="AC32" s="33" t="s">
        <v>67</v>
      </c>
      <c r="AD32" s="33" t="s">
        <v>68</v>
      </c>
      <c r="AE32" s="33">
        <f>COUNTBLANK(Table16[Item 1E])</f>
        <v>0</v>
      </c>
      <c r="AF32" s="59" t="e">
        <f>AE32/AE33</f>
        <v>#DIV/0!</v>
      </c>
      <c r="AJ32" s="33" t="s">
        <v>67</v>
      </c>
      <c r="AK32" s="33" t="s">
        <v>68</v>
      </c>
      <c r="AL32" s="33">
        <f>COUNTBLANK(Table17[Item 1F])</f>
        <v>0</v>
      </c>
      <c r="AM32" s="59" t="e">
        <f>AL32/AL33</f>
        <v>#DIV/0!</v>
      </c>
      <c r="AQ32" s="33" t="s">
        <v>67</v>
      </c>
      <c r="AR32" s="33" t="s">
        <v>68</v>
      </c>
      <c r="AS32" s="33">
        <f>COUNTBLANK(Table1219[Item 1G])</f>
        <v>0</v>
      </c>
      <c r="AT32" s="59" t="e">
        <f>AS32/AS33</f>
        <v>#DIV/0!</v>
      </c>
      <c r="AX32" s="33" t="s">
        <v>67</v>
      </c>
      <c r="AY32" s="33" t="s">
        <v>68</v>
      </c>
      <c r="AZ32" s="33">
        <f>COUNTBLANK(Table1220[Item 1H])</f>
        <v>0</v>
      </c>
      <c r="BA32" s="59" t="e">
        <f>AZ32/AZ33</f>
        <v>#DIV/0!</v>
      </c>
      <c r="BE32" s="33" t="s">
        <v>67</v>
      </c>
      <c r="BF32" s="33" t="s">
        <v>68</v>
      </c>
      <c r="BG32" s="33">
        <f>COUNTBLANK(Table1221[Item 1I])</f>
        <v>0</v>
      </c>
      <c r="BH32" s="59" t="e">
        <f>BG32/BG33</f>
        <v>#DIV/0!</v>
      </c>
      <c r="BL32" s="33" t="s">
        <v>67</v>
      </c>
      <c r="BM32" s="33" t="s">
        <v>68</v>
      </c>
      <c r="BN32" s="33">
        <f>COUNTBLANK(Table1224[Item 1J])</f>
        <v>0</v>
      </c>
      <c r="BO32" s="59" t="e">
        <f>BN32/BN33</f>
        <v>#DIV/0!</v>
      </c>
    </row>
    <row r="33" spans="1:69" x14ac:dyDescent="0.2">
      <c r="A33" s="37" t="s">
        <v>66</v>
      </c>
      <c r="B33" s="33"/>
      <c r="C33" s="33">
        <f>SUM(C31:C32)</f>
        <v>0</v>
      </c>
      <c r="D33" s="59" t="e">
        <f>SUM(D31:D32)</f>
        <v>#DIV/0!</v>
      </c>
      <c r="H33" s="37" t="s">
        <v>66</v>
      </c>
      <c r="I33" s="33"/>
      <c r="J33" s="33">
        <f>SUM(J31:J32)</f>
        <v>0</v>
      </c>
      <c r="K33" s="59" t="e">
        <f>SUM(K31:K32)</f>
        <v>#DIV/0!</v>
      </c>
      <c r="O33" s="37" t="s">
        <v>66</v>
      </c>
      <c r="P33" s="33"/>
      <c r="Q33" s="33">
        <f>SUM(Q31:Q32)</f>
        <v>0</v>
      </c>
      <c r="R33" s="59" t="e">
        <f>SUM(R31:R32)</f>
        <v>#DIV/0!</v>
      </c>
      <c r="V33" s="37" t="s">
        <v>66</v>
      </c>
      <c r="W33" s="33"/>
      <c r="X33" s="33">
        <f>SUM(X31:X32)</f>
        <v>0</v>
      </c>
      <c r="Y33" s="59" t="e">
        <f>SUM(Y31:Y32)</f>
        <v>#DIV/0!</v>
      </c>
      <c r="Z33" s="56"/>
      <c r="AC33" s="37" t="s">
        <v>66</v>
      </c>
      <c r="AD33" s="33"/>
      <c r="AE33" s="33">
        <f>SUM(AE31:AE32)</f>
        <v>0</v>
      </c>
      <c r="AF33" s="59" t="e">
        <f>SUM(AF31:AF32)</f>
        <v>#DIV/0!</v>
      </c>
      <c r="AJ33" s="37" t="s">
        <v>66</v>
      </c>
      <c r="AK33" s="33"/>
      <c r="AL33" s="33">
        <f>SUM(AL31:AL32)</f>
        <v>0</v>
      </c>
      <c r="AM33" s="59" t="e">
        <f>SUM(AM31:AM32)</f>
        <v>#DIV/0!</v>
      </c>
      <c r="AQ33" s="37" t="s">
        <v>66</v>
      </c>
      <c r="AR33" s="33"/>
      <c r="AS33" s="33">
        <f>SUM(AS31:AS32)</f>
        <v>0</v>
      </c>
      <c r="AT33" s="59" t="e">
        <f>SUM(AT31:AT32)</f>
        <v>#DIV/0!</v>
      </c>
      <c r="AX33" s="37" t="s">
        <v>66</v>
      </c>
      <c r="AY33" s="33"/>
      <c r="AZ33" s="33">
        <f>SUM(AZ31:AZ32)</f>
        <v>0</v>
      </c>
      <c r="BA33" s="59" t="e">
        <f>SUM(BA31:BA32)</f>
        <v>#DIV/0!</v>
      </c>
      <c r="BE33" s="37" t="s">
        <v>66</v>
      </c>
      <c r="BF33" s="33"/>
      <c r="BG33" s="33">
        <f>SUM(BG31:BG32)</f>
        <v>0</v>
      </c>
      <c r="BH33" s="59" t="e">
        <f>SUM(BH31:BH32)</f>
        <v>#DIV/0!</v>
      </c>
      <c r="BL33" s="37" t="s">
        <v>66</v>
      </c>
      <c r="BM33" s="33"/>
      <c r="BN33" s="33">
        <f>SUM(BN31:BN32)</f>
        <v>0</v>
      </c>
      <c r="BO33" s="59" t="e">
        <f>SUM(BO31:BO32)</f>
        <v>#DIV/0!</v>
      </c>
    </row>
    <row r="37" spans="1:69" x14ac:dyDescent="0.2">
      <c r="A37" s="103" t="s">
        <v>74</v>
      </c>
      <c r="B37" s="103"/>
      <c r="C37" s="103"/>
      <c r="D37" s="103"/>
      <c r="E37" s="103"/>
      <c r="F37" s="103"/>
      <c r="H37" s="103" t="s">
        <v>74</v>
      </c>
      <c r="I37" s="103"/>
      <c r="J37" s="103"/>
      <c r="K37" s="103"/>
      <c r="L37" s="103"/>
      <c r="M37" s="103"/>
      <c r="O37" s="103" t="s">
        <v>74</v>
      </c>
      <c r="P37" s="103"/>
      <c r="Q37" s="103"/>
      <c r="R37" s="103"/>
      <c r="S37" s="103"/>
      <c r="T37" s="103"/>
      <c r="V37" s="103" t="s">
        <v>74</v>
      </c>
      <c r="W37" s="103"/>
      <c r="X37" s="103"/>
      <c r="Y37" s="103"/>
      <c r="Z37" s="103"/>
      <c r="AA37" s="103"/>
      <c r="AC37" s="103" t="s">
        <v>74</v>
      </c>
      <c r="AD37" s="103"/>
      <c r="AE37" s="103"/>
      <c r="AF37" s="103"/>
      <c r="AG37" s="103"/>
      <c r="AH37" s="103"/>
      <c r="AJ37" s="103" t="s">
        <v>74</v>
      </c>
      <c r="AK37" s="103"/>
      <c r="AL37" s="103"/>
      <c r="AM37" s="103"/>
      <c r="AN37" s="103"/>
      <c r="AO37" s="103"/>
      <c r="AQ37" s="103" t="s">
        <v>74</v>
      </c>
      <c r="AR37" s="103"/>
      <c r="AS37" s="103"/>
      <c r="AT37" s="103"/>
      <c r="AU37" s="103"/>
      <c r="AV37" s="103"/>
      <c r="AX37" s="103" t="s">
        <v>74</v>
      </c>
      <c r="AY37" s="103"/>
      <c r="AZ37" s="103"/>
      <c r="BA37" s="103"/>
      <c r="BB37" s="103"/>
      <c r="BC37" s="103"/>
      <c r="BE37" s="103" t="s">
        <v>74</v>
      </c>
      <c r="BF37" s="103"/>
      <c r="BG37" s="103"/>
      <c r="BH37" s="103"/>
      <c r="BI37" s="103"/>
      <c r="BJ37" s="103"/>
      <c r="BL37" s="103" t="s">
        <v>74</v>
      </c>
      <c r="BM37" s="103"/>
      <c r="BN37" s="103"/>
      <c r="BO37" s="103"/>
      <c r="BP37" s="103"/>
      <c r="BQ37" s="103"/>
    </row>
    <row r="38" spans="1:69" x14ac:dyDescent="0.2">
      <c r="A38" s="117"/>
      <c r="B38" s="117"/>
      <c r="C38" s="32" t="s">
        <v>49</v>
      </c>
      <c r="D38" s="32" t="s">
        <v>64</v>
      </c>
      <c r="E38" s="32" t="s">
        <v>50</v>
      </c>
      <c r="F38" s="32" t="s">
        <v>51</v>
      </c>
      <c r="H38" s="117"/>
      <c r="I38" s="117"/>
      <c r="J38" s="32" t="s">
        <v>49</v>
      </c>
      <c r="K38" s="32" t="s">
        <v>64</v>
      </c>
      <c r="L38" s="32" t="s">
        <v>50</v>
      </c>
      <c r="M38" s="32" t="s">
        <v>51</v>
      </c>
      <c r="O38" s="117"/>
      <c r="P38" s="117"/>
      <c r="Q38" s="32" t="s">
        <v>49</v>
      </c>
      <c r="R38" s="32" t="s">
        <v>64</v>
      </c>
      <c r="S38" s="32" t="s">
        <v>50</v>
      </c>
      <c r="T38" s="32" t="s">
        <v>51</v>
      </c>
      <c r="V38" s="117"/>
      <c r="W38" s="117"/>
      <c r="X38" s="32" t="s">
        <v>49</v>
      </c>
      <c r="Y38" s="32" t="s">
        <v>64</v>
      </c>
      <c r="Z38" s="32" t="s">
        <v>50</v>
      </c>
      <c r="AA38" s="32" t="s">
        <v>51</v>
      </c>
      <c r="AC38" s="117"/>
      <c r="AD38" s="117"/>
      <c r="AE38" s="32" t="s">
        <v>49</v>
      </c>
      <c r="AF38" s="32" t="s">
        <v>64</v>
      </c>
      <c r="AG38" s="32" t="s">
        <v>50</v>
      </c>
      <c r="AH38" s="32" t="s">
        <v>51</v>
      </c>
      <c r="AJ38" s="117"/>
      <c r="AK38" s="117"/>
      <c r="AL38" s="32" t="s">
        <v>49</v>
      </c>
      <c r="AM38" s="32" t="s">
        <v>64</v>
      </c>
      <c r="AN38" s="32" t="s">
        <v>50</v>
      </c>
      <c r="AO38" s="32" t="s">
        <v>51</v>
      </c>
      <c r="AQ38" s="117"/>
      <c r="AR38" s="117"/>
      <c r="AS38" s="32" t="s">
        <v>49</v>
      </c>
      <c r="AT38" s="32" t="s">
        <v>64</v>
      </c>
      <c r="AU38" s="32" t="s">
        <v>50</v>
      </c>
      <c r="AV38" s="32" t="s">
        <v>51</v>
      </c>
      <c r="AX38" s="117"/>
      <c r="AY38" s="117"/>
      <c r="AZ38" s="32" t="s">
        <v>49</v>
      </c>
      <c r="BA38" s="32" t="s">
        <v>64</v>
      </c>
      <c r="BB38" s="32" t="s">
        <v>50</v>
      </c>
      <c r="BC38" s="32" t="s">
        <v>51</v>
      </c>
      <c r="BE38" s="117"/>
      <c r="BF38" s="117"/>
      <c r="BG38" s="32" t="s">
        <v>49</v>
      </c>
      <c r="BH38" s="32" t="s">
        <v>64</v>
      </c>
      <c r="BI38" s="32" t="s">
        <v>50</v>
      </c>
      <c r="BJ38" s="32" t="s">
        <v>51</v>
      </c>
      <c r="BL38" s="117"/>
      <c r="BM38" s="117"/>
      <c r="BN38" s="32" t="s">
        <v>49</v>
      </c>
      <c r="BO38" s="32" t="s">
        <v>64</v>
      </c>
      <c r="BP38" s="32" t="s">
        <v>50</v>
      </c>
      <c r="BQ38" s="32" t="s">
        <v>51</v>
      </c>
    </row>
    <row r="39" spans="1:69" x14ac:dyDescent="0.2">
      <c r="A39" s="118" t="s">
        <v>65</v>
      </c>
      <c r="B39" s="44" t="s">
        <v>75</v>
      </c>
      <c r="C39" s="33">
        <f>COUNTIFS(Table2[BEFORE - Item 1A],"3",Table2[AFTER - Item 1A],"4")</f>
        <v>0</v>
      </c>
      <c r="D39" s="58" t="e">
        <f>C39/C52</f>
        <v>#DIV/0!</v>
      </c>
      <c r="E39" s="60" t="e">
        <f>C39/C50</f>
        <v>#DIV/0!</v>
      </c>
      <c r="F39" s="59" t="e">
        <f>E39</f>
        <v>#DIV/0!</v>
      </c>
      <c r="H39" s="118" t="s">
        <v>65</v>
      </c>
      <c r="I39" s="37" t="s">
        <v>75</v>
      </c>
      <c r="J39" s="33">
        <f>COUNTIFS(Table24[BEFORE - Item 1B],"3",Table24[AFTER - Item 1B],"4")</f>
        <v>0</v>
      </c>
      <c r="K39" s="58" t="e">
        <f>J39/J52</f>
        <v>#DIV/0!</v>
      </c>
      <c r="L39" s="60" t="e">
        <f>J39/J50</f>
        <v>#DIV/0!</v>
      </c>
      <c r="M39" s="59" t="e">
        <f>L39</f>
        <v>#DIV/0!</v>
      </c>
      <c r="O39" s="118" t="s">
        <v>65</v>
      </c>
      <c r="P39" s="37" t="s">
        <v>75</v>
      </c>
      <c r="Q39" s="33">
        <f>COUNTIFS(Table25[BEFORE - Item 1C],"3",Table25[AFTER -Item 1C],"4")</f>
        <v>0</v>
      </c>
      <c r="R39" s="58" t="e">
        <f>Q39/Q52</f>
        <v>#DIV/0!</v>
      </c>
      <c r="S39" s="60" t="e">
        <f>Q39/Q50</f>
        <v>#DIV/0!</v>
      </c>
      <c r="T39" s="59" t="e">
        <f>S39</f>
        <v>#DIV/0!</v>
      </c>
      <c r="V39" s="118" t="s">
        <v>65</v>
      </c>
      <c r="W39" s="37" t="s">
        <v>75</v>
      </c>
      <c r="X39" s="33">
        <f>COUNTIFS(Table26[BEFORE - Item 1D],"3",Table26[AFTER - Item 1D],"4")</f>
        <v>0</v>
      </c>
      <c r="Y39" s="58" t="e">
        <f>X39/X52</f>
        <v>#DIV/0!</v>
      </c>
      <c r="Z39" s="60" t="e">
        <f>X39/X50</f>
        <v>#DIV/0!</v>
      </c>
      <c r="AA39" s="59" t="e">
        <f>Z39</f>
        <v>#DIV/0!</v>
      </c>
      <c r="AC39" s="118" t="s">
        <v>65</v>
      </c>
      <c r="AD39" s="37" t="s">
        <v>75</v>
      </c>
      <c r="AE39" s="33">
        <f>COUNTIFS(Table27[BEFORE - Item 1E],"3",Table27[AFTER - Item 1E],"4")</f>
        <v>0</v>
      </c>
      <c r="AF39" s="58" t="e">
        <f>AE39/AE52</f>
        <v>#DIV/0!</v>
      </c>
      <c r="AG39" s="60" t="e">
        <f>AE39/AE50</f>
        <v>#DIV/0!</v>
      </c>
      <c r="AH39" s="59" t="e">
        <f>AG39</f>
        <v>#DIV/0!</v>
      </c>
      <c r="AJ39" s="118" t="s">
        <v>65</v>
      </c>
      <c r="AK39" s="37" t="s">
        <v>75</v>
      </c>
      <c r="AL39" s="33">
        <f>COUNTIFS(Table278[BEFORE- Item 1F],"3",Table278[AFTER- Item 1F],"4")</f>
        <v>0</v>
      </c>
      <c r="AM39" s="58" t="e">
        <f>AL39/AL52</f>
        <v>#DIV/0!</v>
      </c>
      <c r="AN39" s="60" t="e">
        <f>AL39/AL50</f>
        <v>#DIV/0!</v>
      </c>
      <c r="AO39" s="59" t="e">
        <f>AN39</f>
        <v>#DIV/0!</v>
      </c>
      <c r="AQ39" s="118" t="s">
        <v>65</v>
      </c>
      <c r="AR39" s="37" t="s">
        <v>75</v>
      </c>
      <c r="AS39" s="33">
        <f>COUNTIFS(Table259[BEFORE - Item 1G], "3", Table259[AFTER -Item 1G],"4")</f>
        <v>0</v>
      </c>
      <c r="AT39" s="58" t="e">
        <f>AS39/AS52</f>
        <v>#DIV/0!</v>
      </c>
      <c r="AU39" s="60" t="e">
        <f>AS39/AS50</f>
        <v>#DIV/0!</v>
      </c>
      <c r="AV39" s="59" t="e">
        <f>AU39</f>
        <v>#DIV/0!</v>
      </c>
      <c r="AX39" s="118" t="s">
        <v>65</v>
      </c>
      <c r="AY39" s="37" t="s">
        <v>75</v>
      </c>
      <c r="AZ39" s="33">
        <f>COUNTIFS(Table2610[BEFORE - Item 1H], "3", Table2610[AFTER - Item 1H], "4")</f>
        <v>0</v>
      </c>
      <c r="BA39" s="58" t="e">
        <f>AZ39/AZ52</f>
        <v>#DIV/0!</v>
      </c>
      <c r="BB39" s="60" t="e">
        <f>AZ39/AZ50</f>
        <v>#DIV/0!</v>
      </c>
      <c r="BC39" s="59" t="e">
        <f>BB39</f>
        <v>#DIV/0!</v>
      </c>
      <c r="BE39" s="118" t="s">
        <v>65</v>
      </c>
      <c r="BF39" s="37" t="s">
        <v>75</v>
      </c>
      <c r="BG39" s="33">
        <f>COUNTIFS(Table2711[BEFORE - Item 1I],"3",Table2711[AFTER - Item 1I],"4")</f>
        <v>0</v>
      </c>
      <c r="BH39" s="58" t="e">
        <f>BG39/BG52</f>
        <v>#DIV/0!</v>
      </c>
      <c r="BI39" s="60" t="e">
        <f>BG39/BG50</f>
        <v>#DIV/0!</v>
      </c>
      <c r="BJ39" s="59" t="e">
        <f>BI39</f>
        <v>#DIV/0!</v>
      </c>
      <c r="BL39" s="118" t="s">
        <v>65</v>
      </c>
      <c r="BM39" s="37" t="s">
        <v>75</v>
      </c>
      <c r="BN39" s="33">
        <f>COUNTIFS(Table27812[BEFORE- Item 1J], "3", Table27812[AFTER- Item 1J], "4")</f>
        <v>0</v>
      </c>
      <c r="BO39" s="58" t="e">
        <f>BN39/BN52</f>
        <v>#DIV/0!</v>
      </c>
      <c r="BP39" s="60" t="e">
        <f>BN39/BN50</f>
        <v>#DIV/0!</v>
      </c>
      <c r="BQ39" s="59" t="e">
        <f>BP39</f>
        <v>#DIV/0!</v>
      </c>
    </row>
    <row r="40" spans="1:69" x14ac:dyDescent="0.2">
      <c r="A40" s="118"/>
      <c r="B40" s="44" t="s">
        <v>76</v>
      </c>
      <c r="C40" s="33">
        <f>COUNTIFS(Table2[BEFORE - Item 1A],"2",Table2[AFTER - Item 1A],"4")</f>
        <v>0</v>
      </c>
      <c r="D40" s="58" t="e">
        <f>C40/C52</f>
        <v>#DIV/0!</v>
      </c>
      <c r="E40" s="60" t="e">
        <f>C40/C50</f>
        <v>#DIV/0!</v>
      </c>
      <c r="F40" s="59" t="e">
        <f>F39+E40</f>
        <v>#DIV/0!</v>
      </c>
      <c r="H40" s="118"/>
      <c r="I40" s="37" t="s">
        <v>76</v>
      </c>
      <c r="J40" s="33">
        <f>COUNTIFS(Table24[BEFORE - Item 1B],"2",Table24[AFTER - Item 1B],"4")</f>
        <v>0</v>
      </c>
      <c r="K40" s="58" t="e">
        <f>J40/J52</f>
        <v>#DIV/0!</v>
      </c>
      <c r="L40" s="60" t="e">
        <f>J40/J50</f>
        <v>#DIV/0!</v>
      </c>
      <c r="M40" s="59" t="e">
        <f>M39+L40</f>
        <v>#DIV/0!</v>
      </c>
      <c r="O40" s="118"/>
      <c r="P40" s="37" t="s">
        <v>76</v>
      </c>
      <c r="Q40" s="33">
        <f>COUNTIFS(Table25[BEFORE - Item 1C],"2",Table25[AFTER -Item 1C],"4")</f>
        <v>0</v>
      </c>
      <c r="R40" s="58" t="e">
        <f>Q40/Q52</f>
        <v>#DIV/0!</v>
      </c>
      <c r="S40" s="60" t="e">
        <f>Q40/Q50</f>
        <v>#DIV/0!</v>
      </c>
      <c r="T40" s="59" t="e">
        <f>T39+S40</f>
        <v>#DIV/0!</v>
      </c>
      <c r="V40" s="118"/>
      <c r="W40" s="37" t="s">
        <v>76</v>
      </c>
      <c r="X40" s="33">
        <f>COUNTIFS(Table26[BEFORE - Item 1D],"2",Table26[AFTER - Item 1D],"4")</f>
        <v>0</v>
      </c>
      <c r="Y40" s="58" t="e">
        <f>X40/X52</f>
        <v>#DIV/0!</v>
      </c>
      <c r="Z40" s="60" t="e">
        <f>X40/X50</f>
        <v>#DIV/0!</v>
      </c>
      <c r="AA40" s="59" t="e">
        <f>AA39+Z40</f>
        <v>#DIV/0!</v>
      </c>
      <c r="AC40" s="118"/>
      <c r="AD40" s="37" t="s">
        <v>76</v>
      </c>
      <c r="AE40" s="33">
        <f>COUNTIFS(Table27[BEFORE - Item 1E],"2",Table27[AFTER - Item 1E],"4")</f>
        <v>0</v>
      </c>
      <c r="AF40" s="58" t="e">
        <f>AE40/AE52</f>
        <v>#DIV/0!</v>
      </c>
      <c r="AG40" s="60" t="e">
        <f>AE40/AE50</f>
        <v>#DIV/0!</v>
      </c>
      <c r="AH40" s="59" t="e">
        <f>AH39+AG40</f>
        <v>#DIV/0!</v>
      </c>
      <c r="AJ40" s="118"/>
      <c r="AK40" s="37" t="s">
        <v>76</v>
      </c>
      <c r="AL40" s="33">
        <f>COUNTIFS(Table278[BEFORE- Item 1F],"2",Table278[AFTER- Item 1F],"4")</f>
        <v>0</v>
      </c>
      <c r="AM40" s="58" t="e">
        <f>AL40/AL52</f>
        <v>#DIV/0!</v>
      </c>
      <c r="AN40" s="60" t="e">
        <f>AL40/AL50</f>
        <v>#DIV/0!</v>
      </c>
      <c r="AO40" s="59" t="e">
        <f>AO39+AN40</f>
        <v>#DIV/0!</v>
      </c>
      <c r="AQ40" s="118"/>
      <c r="AR40" s="37" t="s">
        <v>76</v>
      </c>
      <c r="AS40" s="33">
        <f>COUNTIFS(Table259[BEFORE - Item 1G], "2", Table259[AFTER -Item 1G],"4")</f>
        <v>0</v>
      </c>
      <c r="AT40" s="58" t="e">
        <f>AS40/AS52</f>
        <v>#DIV/0!</v>
      </c>
      <c r="AU40" s="60" t="e">
        <f>AS40/AS50</f>
        <v>#DIV/0!</v>
      </c>
      <c r="AV40" s="59" t="e">
        <f t="shared" ref="AV40:AV49" si="0">AV39+AU40</f>
        <v>#DIV/0!</v>
      </c>
      <c r="AX40" s="118"/>
      <c r="AY40" s="37" t="s">
        <v>76</v>
      </c>
      <c r="AZ40" s="33">
        <f>COUNTIFS(Table2610[BEFORE - Item 1H], "2", Table2610[AFTER - Item 1H], "4")</f>
        <v>0</v>
      </c>
      <c r="BA40" s="58" t="e">
        <f>AZ40/AZ52</f>
        <v>#DIV/0!</v>
      </c>
      <c r="BB40" s="60" t="e">
        <f>AZ40/AZ50</f>
        <v>#DIV/0!</v>
      </c>
      <c r="BC40" s="59" t="e">
        <f t="shared" ref="BC40:BC49" si="1">BC39+BB40</f>
        <v>#DIV/0!</v>
      </c>
      <c r="BE40" s="118"/>
      <c r="BF40" s="37" t="s">
        <v>76</v>
      </c>
      <c r="BG40" s="33">
        <f>COUNTIFS(Table2711[BEFORE - Item 1I],"2",Table2711[AFTER - Item 1I],"4")</f>
        <v>0</v>
      </c>
      <c r="BH40" s="58" t="e">
        <f>BG40/BG52</f>
        <v>#DIV/0!</v>
      </c>
      <c r="BI40" s="60" t="e">
        <f>BG40/BG50</f>
        <v>#DIV/0!</v>
      </c>
      <c r="BJ40" s="59" t="e">
        <f t="shared" ref="BJ40:BJ49" si="2">BJ39+BI40</f>
        <v>#DIV/0!</v>
      </c>
      <c r="BL40" s="118"/>
      <c r="BM40" s="37" t="s">
        <v>76</v>
      </c>
      <c r="BN40" s="33">
        <f>COUNTIFS(Table27812[BEFORE- Item 1J], "2", Table27812[AFTER- Item 1J], "4")</f>
        <v>0</v>
      </c>
      <c r="BO40" s="58" t="e">
        <f>BN40/BN52</f>
        <v>#DIV/0!</v>
      </c>
      <c r="BP40" s="60" t="e">
        <f>BN40/BN50</f>
        <v>#DIV/0!</v>
      </c>
      <c r="BQ40" s="59" t="e">
        <f t="shared" ref="BQ40:BQ49" si="3">BQ39+BP40</f>
        <v>#DIV/0!</v>
      </c>
    </row>
    <row r="41" spans="1:69" x14ac:dyDescent="0.2">
      <c r="A41" s="118"/>
      <c r="B41" s="44" t="s">
        <v>77</v>
      </c>
      <c r="C41" s="33">
        <f>COUNTIFS(Table2[BEFORE - Item 1A],"2",Table2[AFTER - Item 1A],"3")</f>
        <v>0</v>
      </c>
      <c r="D41" s="58" t="e">
        <f>C41/C52</f>
        <v>#DIV/0!</v>
      </c>
      <c r="E41" s="60" t="e">
        <f>C41/C50</f>
        <v>#DIV/0!</v>
      </c>
      <c r="F41" s="59" t="e">
        <f>F40+E41</f>
        <v>#DIV/0!</v>
      </c>
      <c r="H41" s="118"/>
      <c r="I41" s="37" t="s">
        <v>77</v>
      </c>
      <c r="J41" s="33">
        <f>COUNTIFS(Table24[BEFORE - Item 1B],"2",Table24[AFTER - Item 1B],"3")</f>
        <v>0</v>
      </c>
      <c r="K41" s="58" t="e">
        <f>J41/J52</f>
        <v>#DIV/0!</v>
      </c>
      <c r="L41" s="60" t="e">
        <f>J41/J50</f>
        <v>#DIV/0!</v>
      </c>
      <c r="M41" s="59" t="e">
        <f>M40+L41</f>
        <v>#DIV/0!</v>
      </c>
      <c r="O41" s="118"/>
      <c r="P41" s="37" t="s">
        <v>77</v>
      </c>
      <c r="Q41" s="33">
        <f>COUNTIFS(Table25[BEFORE - Item 1C],"2",Table25[AFTER -Item 1C],"3")</f>
        <v>0</v>
      </c>
      <c r="R41" s="58" t="e">
        <f>Q41/Q52</f>
        <v>#DIV/0!</v>
      </c>
      <c r="S41" s="60" t="e">
        <f>Q41/Q50</f>
        <v>#DIV/0!</v>
      </c>
      <c r="T41" s="59" t="e">
        <f>T40+S41</f>
        <v>#DIV/0!</v>
      </c>
      <c r="V41" s="118"/>
      <c r="W41" s="37" t="s">
        <v>77</v>
      </c>
      <c r="X41" s="33">
        <f>COUNTIFS(Table26[BEFORE - Item 1D],"2",Table26[AFTER - Item 1D],"3")</f>
        <v>0</v>
      </c>
      <c r="Y41" s="58" t="e">
        <f>X41/X52</f>
        <v>#DIV/0!</v>
      </c>
      <c r="Z41" s="60" t="e">
        <f>X41/X50</f>
        <v>#DIV/0!</v>
      </c>
      <c r="AA41" s="59" t="e">
        <f>AA40+Z41</f>
        <v>#DIV/0!</v>
      </c>
      <c r="AC41" s="118"/>
      <c r="AD41" s="37" t="s">
        <v>77</v>
      </c>
      <c r="AE41" s="33">
        <f>COUNTIFS(Table27[BEFORE - Item 1E],"2",Table27[AFTER - Item 1E],"3")</f>
        <v>0</v>
      </c>
      <c r="AF41" s="58" t="e">
        <f>AE41/AE52</f>
        <v>#DIV/0!</v>
      </c>
      <c r="AG41" s="60" t="e">
        <f>AE41/AE50</f>
        <v>#DIV/0!</v>
      </c>
      <c r="AH41" s="59" t="e">
        <f>AH40+AG41</f>
        <v>#DIV/0!</v>
      </c>
      <c r="AJ41" s="118"/>
      <c r="AK41" s="37" t="s">
        <v>77</v>
      </c>
      <c r="AL41" s="33">
        <f>COUNTIFS(Table278[BEFORE- Item 1F],"2",Table278[AFTER- Item 1F],"3")</f>
        <v>0</v>
      </c>
      <c r="AM41" s="58" t="e">
        <f>AL41/AL52</f>
        <v>#DIV/0!</v>
      </c>
      <c r="AN41" s="60" t="e">
        <f>AL41/AL50</f>
        <v>#DIV/0!</v>
      </c>
      <c r="AO41" s="59" t="e">
        <f>AO40+AN41</f>
        <v>#DIV/0!</v>
      </c>
      <c r="AQ41" s="118"/>
      <c r="AR41" s="37" t="s">
        <v>77</v>
      </c>
      <c r="AS41" s="33">
        <f>COUNTIFS(Table259[BEFORE - Item 1G], "2", Table259[AFTER -Item 1G],"3")</f>
        <v>0</v>
      </c>
      <c r="AT41" s="58" t="e">
        <f>AS41/AS52</f>
        <v>#DIV/0!</v>
      </c>
      <c r="AU41" s="60" t="e">
        <f>AS41/AS50</f>
        <v>#DIV/0!</v>
      </c>
      <c r="AV41" s="59" t="e">
        <f t="shared" si="0"/>
        <v>#DIV/0!</v>
      </c>
      <c r="AX41" s="118"/>
      <c r="AY41" s="37" t="s">
        <v>77</v>
      </c>
      <c r="AZ41" s="33">
        <f>COUNTIFS(Table2610[BEFORE - Item 1H], "2", Table2610[AFTER - Item 1H], "3")</f>
        <v>0</v>
      </c>
      <c r="BA41" s="58" t="e">
        <f>AZ41/AZ52</f>
        <v>#DIV/0!</v>
      </c>
      <c r="BB41" s="60" t="e">
        <f>AZ41/AZ50</f>
        <v>#DIV/0!</v>
      </c>
      <c r="BC41" s="59" t="e">
        <f t="shared" si="1"/>
        <v>#DIV/0!</v>
      </c>
      <c r="BE41" s="118"/>
      <c r="BF41" s="37" t="s">
        <v>77</v>
      </c>
      <c r="BG41" s="33">
        <f>COUNTIFS(Table2711[BEFORE - Item 1I],"2",Table2711[AFTER - Item 1I],"3")</f>
        <v>0</v>
      </c>
      <c r="BH41" s="58" t="e">
        <f>BG41/BG52</f>
        <v>#DIV/0!</v>
      </c>
      <c r="BI41" s="60" t="e">
        <f>BG41/BG50</f>
        <v>#DIV/0!</v>
      </c>
      <c r="BJ41" s="59" t="e">
        <f t="shared" si="2"/>
        <v>#DIV/0!</v>
      </c>
      <c r="BL41" s="118"/>
      <c r="BM41" s="37" t="s">
        <v>77</v>
      </c>
      <c r="BN41" s="33">
        <f>COUNTIFS(Table27812[BEFORE- Item 1J], "2", Table27812[AFTER- Item 1J], "3")</f>
        <v>0</v>
      </c>
      <c r="BO41" s="58" t="e">
        <f>BN41/BN52</f>
        <v>#DIV/0!</v>
      </c>
      <c r="BP41" s="60" t="e">
        <f>BN41/BN50</f>
        <v>#DIV/0!</v>
      </c>
      <c r="BQ41" s="59" t="e">
        <f t="shared" si="3"/>
        <v>#DIV/0!</v>
      </c>
    </row>
    <row r="42" spans="1:69" x14ac:dyDescent="0.2">
      <c r="A42" s="118"/>
      <c r="B42" s="44" t="s">
        <v>78</v>
      </c>
      <c r="C42" s="33">
        <f>COUNTIFS(Table2[BEFORE - Item 1A],"1",Table2[AFTER - Item 1A],"4")</f>
        <v>0</v>
      </c>
      <c r="D42" s="58" t="e">
        <f>C42/C52</f>
        <v>#DIV/0!</v>
      </c>
      <c r="E42" s="60" t="e">
        <f>C42/C50</f>
        <v>#DIV/0!</v>
      </c>
      <c r="F42" s="59" t="e">
        <f>F41+E42</f>
        <v>#DIV/0!</v>
      </c>
      <c r="H42" s="118"/>
      <c r="I42" s="37" t="s">
        <v>78</v>
      </c>
      <c r="J42" s="33">
        <f>COUNTIFS(Table24[BEFORE - Item 1B],"1",Table24[AFTER - Item 1B],"4")</f>
        <v>0</v>
      </c>
      <c r="K42" s="58" t="e">
        <f>J42/J52</f>
        <v>#DIV/0!</v>
      </c>
      <c r="L42" s="60" t="e">
        <f>J42/J50</f>
        <v>#DIV/0!</v>
      </c>
      <c r="M42" s="59" t="e">
        <f>M41+L42</f>
        <v>#DIV/0!</v>
      </c>
      <c r="O42" s="118"/>
      <c r="P42" s="37" t="s">
        <v>78</v>
      </c>
      <c r="Q42" s="33">
        <f>COUNTIFS(Table25[BEFORE - Item 1C],"1",Table25[AFTER -Item 1C],"4")</f>
        <v>0</v>
      </c>
      <c r="R42" s="58" t="e">
        <f>Q42/Q52</f>
        <v>#DIV/0!</v>
      </c>
      <c r="S42" s="60" t="e">
        <f>Q42/Q50</f>
        <v>#DIV/0!</v>
      </c>
      <c r="T42" s="59" t="e">
        <f>T41+S42</f>
        <v>#DIV/0!</v>
      </c>
      <c r="V42" s="118"/>
      <c r="W42" s="37" t="s">
        <v>78</v>
      </c>
      <c r="X42" s="33">
        <f>COUNTIFS(Table26[BEFORE - Item 1D],"1",Table26[AFTER - Item 1D],"4")</f>
        <v>0</v>
      </c>
      <c r="Y42" s="58" t="e">
        <f>X42/X52</f>
        <v>#DIV/0!</v>
      </c>
      <c r="Z42" s="60" t="e">
        <f>X42/X50</f>
        <v>#DIV/0!</v>
      </c>
      <c r="AA42" s="59" t="e">
        <f>AA41+Z42</f>
        <v>#DIV/0!</v>
      </c>
      <c r="AC42" s="118"/>
      <c r="AD42" s="37" t="s">
        <v>78</v>
      </c>
      <c r="AE42" s="33">
        <f>COUNTIFS(Table27[BEFORE - Item 1E],"1",Table27[AFTER - Item 1E],"4")</f>
        <v>0</v>
      </c>
      <c r="AF42" s="58" t="e">
        <f>AE42/AE52</f>
        <v>#DIV/0!</v>
      </c>
      <c r="AG42" s="60" t="e">
        <f>AE42/AE50</f>
        <v>#DIV/0!</v>
      </c>
      <c r="AH42" s="59" t="e">
        <f>AH41+AG42</f>
        <v>#DIV/0!</v>
      </c>
      <c r="AJ42" s="118"/>
      <c r="AK42" s="37" t="s">
        <v>78</v>
      </c>
      <c r="AL42" s="33">
        <f>COUNTIFS(Table278[BEFORE- Item 1F],"1",Table278[AFTER- Item 1F],"4")</f>
        <v>0</v>
      </c>
      <c r="AM42" s="58" t="e">
        <f>AL42/AL52</f>
        <v>#DIV/0!</v>
      </c>
      <c r="AN42" s="60" t="e">
        <f>AL42/AL50</f>
        <v>#DIV/0!</v>
      </c>
      <c r="AO42" s="59" t="e">
        <f>AO41+AN42</f>
        <v>#DIV/0!</v>
      </c>
      <c r="AQ42" s="118"/>
      <c r="AR42" s="37" t="s">
        <v>78</v>
      </c>
      <c r="AS42" s="33">
        <f>COUNTIFS(Table259[BEFORE - Item 1G], "1", Table259[AFTER -Item 1G],"4")</f>
        <v>0</v>
      </c>
      <c r="AT42" s="58" t="e">
        <f>AS42/AS52</f>
        <v>#DIV/0!</v>
      </c>
      <c r="AU42" s="60" t="e">
        <f>AS42/AS50</f>
        <v>#DIV/0!</v>
      </c>
      <c r="AV42" s="59" t="e">
        <f t="shared" si="0"/>
        <v>#DIV/0!</v>
      </c>
      <c r="AX42" s="118"/>
      <c r="AY42" s="37" t="s">
        <v>78</v>
      </c>
      <c r="AZ42" s="33">
        <f>COUNTIFS(Table2610[BEFORE - Item 1H], "1", Table2610[AFTER - Item 1H], "4")</f>
        <v>0</v>
      </c>
      <c r="BA42" s="58" t="e">
        <f>AZ42/AZ52</f>
        <v>#DIV/0!</v>
      </c>
      <c r="BB42" s="60" t="e">
        <f>AZ42/AZ50</f>
        <v>#DIV/0!</v>
      </c>
      <c r="BC42" s="59" t="e">
        <f t="shared" si="1"/>
        <v>#DIV/0!</v>
      </c>
      <c r="BE42" s="118"/>
      <c r="BF42" s="37" t="s">
        <v>78</v>
      </c>
      <c r="BG42" s="33">
        <f>COUNTIFS(Table2711[BEFORE - Item 1I],"1",Table2711[AFTER - Item 1I],"4")</f>
        <v>0</v>
      </c>
      <c r="BH42" s="58" t="e">
        <f>BG42/BG52</f>
        <v>#DIV/0!</v>
      </c>
      <c r="BI42" s="60" t="e">
        <f>BG42/BG50</f>
        <v>#DIV/0!</v>
      </c>
      <c r="BJ42" s="59" t="e">
        <f t="shared" si="2"/>
        <v>#DIV/0!</v>
      </c>
      <c r="BL42" s="118"/>
      <c r="BM42" s="37" t="s">
        <v>78</v>
      </c>
      <c r="BN42" s="33">
        <f>COUNTIFS(Table27812[BEFORE- Item 1J], "1", Table27812[AFTER- Item 1J], "4")</f>
        <v>0</v>
      </c>
      <c r="BO42" s="58" t="e">
        <f>BN42/BN52</f>
        <v>#DIV/0!</v>
      </c>
      <c r="BP42" s="60" t="e">
        <f>BN42/BN50</f>
        <v>#DIV/0!</v>
      </c>
      <c r="BQ42" s="59" t="e">
        <f t="shared" si="3"/>
        <v>#DIV/0!</v>
      </c>
    </row>
    <row r="43" spans="1:69" x14ac:dyDescent="0.2">
      <c r="A43" s="118"/>
      <c r="B43" s="44" t="s">
        <v>79</v>
      </c>
      <c r="C43" s="33">
        <f>COUNTIFS(Table2[BEFORE - Item 1A],"1",Table2[AFTER - Item 1A],"3")</f>
        <v>0</v>
      </c>
      <c r="D43" s="58" t="e">
        <f>C43/C52</f>
        <v>#DIV/0!</v>
      </c>
      <c r="E43" s="60" t="e">
        <f>C43/C50</f>
        <v>#DIV/0!</v>
      </c>
      <c r="F43" s="59" t="e">
        <f>F42+E43</f>
        <v>#DIV/0!</v>
      </c>
      <c r="H43" s="118"/>
      <c r="I43" s="37" t="s">
        <v>79</v>
      </c>
      <c r="J43" s="33">
        <f>COUNTIFS(Table24[BEFORE - Item 1B],"1",Table24[AFTER - Item 1B],"3")</f>
        <v>0</v>
      </c>
      <c r="K43" s="58" t="e">
        <f>J43/J52</f>
        <v>#DIV/0!</v>
      </c>
      <c r="L43" s="60" t="e">
        <f>J43/J50</f>
        <v>#DIV/0!</v>
      </c>
      <c r="M43" s="59" t="e">
        <f>M42+L43</f>
        <v>#DIV/0!</v>
      </c>
      <c r="O43" s="118"/>
      <c r="P43" s="37" t="s">
        <v>79</v>
      </c>
      <c r="Q43" s="33">
        <f>COUNTIFS(Table25[BEFORE - Item 1C],"1",Table25[AFTER -Item 1C],"3")</f>
        <v>0</v>
      </c>
      <c r="R43" s="58" t="e">
        <f>Q43/Q52</f>
        <v>#DIV/0!</v>
      </c>
      <c r="S43" s="60" t="e">
        <f>Q43/Q50</f>
        <v>#DIV/0!</v>
      </c>
      <c r="T43" s="59" t="e">
        <f>T42+S43</f>
        <v>#DIV/0!</v>
      </c>
      <c r="V43" s="118"/>
      <c r="W43" s="37" t="s">
        <v>79</v>
      </c>
      <c r="X43" s="33">
        <f>COUNTIFS(Table26[BEFORE - Item 1D],"1",Table26[AFTER - Item 1D],"3")</f>
        <v>0</v>
      </c>
      <c r="Y43" s="58" t="e">
        <f>X43/X52</f>
        <v>#DIV/0!</v>
      </c>
      <c r="Z43" s="60" t="e">
        <f>X43/X50</f>
        <v>#DIV/0!</v>
      </c>
      <c r="AA43" s="59" t="e">
        <f>AA42+Z43</f>
        <v>#DIV/0!</v>
      </c>
      <c r="AC43" s="118"/>
      <c r="AD43" s="37" t="s">
        <v>79</v>
      </c>
      <c r="AE43" s="33">
        <f>COUNTIFS(Table27[BEFORE - Item 1E],"1",Table27[AFTER - Item 1E],"3")</f>
        <v>0</v>
      </c>
      <c r="AF43" s="58" t="e">
        <f>AE43/AE52</f>
        <v>#DIV/0!</v>
      </c>
      <c r="AG43" s="60" t="e">
        <f>AE43/AE50</f>
        <v>#DIV/0!</v>
      </c>
      <c r="AH43" s="59" t="e">
        <f>AH42+AG43</f>
        <v>#DIV/0!</v>
      </c>
      <c r="AJ43" s="118"/>
      <c r="AK43" s="37" t="s">
        <v>79</v>
      </c>
      <c r="AL43" s="33">
        <f>COUNTIFS(Table278[BEFORE- Item 1F],"1",Table278[AFTER- Item 1F],"3")</f>
        <v>0</v>
      </c>
      <c r="AM43" s="58" t="e">
        <f>AL43/AL52</f>
        <v>#DIV/0!</v>
      </c>
      <c r="AN43" s="60" t="e">
        <f>AL43/AL50</f>
        <v>#DIV/0!</v>
      </c>
      <c r="AO43" s="59" t="e">
        <f>AO42+AN43</f>
        <v>#DIV/0!</v>
      </c>
      <c r="AQ43" s="118"/>
      <c r="AR43" s="37" t="s">
        <v>79</v>
      </c>
      <c r="AS43" s="33">
        <f>COUNTIFS(Table259[BEFORE - Item 1G], "1", Table259[AFTER -Item 1G],"3")</f>
        <v>0</v>
      </c>
      <c r="AT43" s="58" t="e">
        <f>AS43/AS52</f>
        <v>#DIV/0!</v>
      </c>
      <c r="AU43" s="60" t="e">
        <f>AS43/AS50</f>
        <v>#DIV/0!</v>
      </c>
      <c r="AV43" s="59" t="e">
        <f t="shared" si="0"/>
        <v>#DIV/0!</v>
      </c>
      <c r="AX43" s="118"/>
      <c r="AY43" s="37" t="s">
        <v>79</v>
      </c>
      <c r="AZ43" s="33">
        <f>COUNTIFS(Table2610[BEFORE - Item 1H], "1", Table2610[AFTER - Item 1H], "3")</f>
        <v>0</v>
      </c>
      <c r="BA43" s="58" t="e">
        <f>AZ43/AZ52</f>
        <v>#DIV/0!</v>
      </c>
      <c r="BB43" s="60" t="e">
        <f>AZ43/AZ50</f>
        <v>#DIV/0!</v>
      </c>
      <c r="BC43" s="59" t="e">
        <f t="shared" si="1"/>
        <v>#DIV/0!</v>
      </c>
      <c r="BE43" s="118"/>
      <c r="BF43" s="37" t="s">
        <v>79</v>
      </c>
      <c r="BG43" s="33">
        <f>COUNTIFS(Table2711[BEFORE - Item 1I],"1",Table2711[AFTER - Item 1I],"3")</f>
        <v>0</v>
      </c>
      <c r="BH43" s="58" t="e">
        <f>BG43/BG52</f>
        <v>#DIV/0!</v>
      </c>
      <c r="BI43" s="60" t="e">
        <f>BG43/BG50</f>
        <v>#DIV/0!</v>
      </c>
      <c r="BJ43" s="59" t="e">
        <f t="shared" si="2"/>
        <v>#DIV/0!</v>
      </c>
      <c r="BL43" s="118"/>
      <c r="BM43" s="37" t="s">
        <v>79</v>
      </c>
      <c r="BN43" s="33">
        <f>COUNTIFS(Table27812[BEFORE- Item 1J], "1", Table27812[AFTER- Item 1J], "3")</f>
        <v>0</v>
      </c>
      <c r="BO43" s="58" t="e">
        <f>BN43/BN52</f>
        <v>#DIV/0!</v>
      </c>
      <c r="BP43" s="60" t="e">
        <f>BN43/BN50</f>
        <v>#DIV/0!</v>
      </c>
      <c r="BQ43" s="59" t="e">
        <f t="shared" si="3"/>
        <v>#DIV/0!</v>
      </c>
    </row>
    <row r="44" spans="1:69" x14ac:dyDescent="0.2">
      <c r="A44" s="118"/>
      <c r="B44" s="44" t="s">
        <v>80</v>
      </c>
      <c r="C44" s="33">
        <f>COUNTIFS(Table2[BEFORE - Item 1A],"1",Table2[AFTER - Item 1A],"2")</f>
        <v>0</v>
      </c>
      <c r="D44" s="58" t="e">
        <f>C44/C52</f>
        <v>#DIV/0!</v>
      </c>
      <c r="E44" s="60" t="e">
        <f>C44/C50</f>
        <v>#DIV/0!</v>
      </c>
      <c r="F44" s="59" t="e">
        <f t="shared" ref="F44:F49" si="4">F43+E44</f>
        <v>#DIV/0!</v>
      </c>
      <c r="H44" s="118"/>
      <c r="I44" s="37" t="s">
        <v>80</v>
      </c>
      <c r="J44" s="33">
        <f>COUNTIFS(Table24[BEFORE - Item 1B],"1",Table24[AFTER - Item 1B],"2")</f>
        <v>0</v>
      </c>
      <c r="K44" s="58" t="e">
        <f>J44/J52</f>
        <v>#DIV/0!</v>
      </c>
      <c r="L44" s="60" t="e">
        <f>J44/J50</f>
        <v>#DIV/0!</v>
      </c>
      <c r="M44" s="59" t="e">
        <f t="shared" ref="M44:M49" si="5">M43+L44</f>
        <v>#DIV/0!</v>
      </c>
      <c r="O44" s="118"/>
      <c r="P44" s="37" t="s">
        <v>80</v>
      </c>
      <c r="Q44" s="33">
        <f>COUNTIFS(Table25[BEFORE - Item 1C],"1",Table25[AFTER -Item 1C],"2")</f>
        <v>0</v>
      </c>
      <c r="R44" s="58" t="e">
        <f>Q44/Q52</f>
        <v>#DIV/0!</v>
      </c>
      <c r="S44" s="60" t="e">
        <f>Q44/Q50</f>
        <v>#DIV/0!</v>
      </c>
      <c r="T44" s="59" t="e">
        <f t="shared" ref="T44:T49" si="6">T43+S44</f>
        <v>#DIV/0!</v>
      </c>
      <c r="V44" s="118"/>
      <c r="W44" s="37" t="s">
        <v>80</v>
      </c>
      <c r="X44" s="33">
        <f>COUNTIFS(Table26[BEFORE - Item 1D],"1",Table26[AFTER - Item 1D],"2")</f>
        <v>0</v>
      </c>
      <c r="Y44" s="58" t="e">
        <f>X44/X52</f>
        <v>#DIV/0!</v>
      </c>
      <c r="Z44" s="60" t="e">
        <f>X44/X50</f>
        <v>#DIV/0!</v>
      </c>
      <c r="AA44" s="59" t="e">
        <f t="shared" ref="AA44:AA49" si="7">AA43+Z44</f>
        <v>#DIV/0!</v>
      </c>
      <c r="AC44" s="118"/>
      <c r="AD44" s="37" t="s">
        <v>80</v>
      </c>
      <c r="AE44" s="33">
        <f>COUNTIFS(Table27[BEFORE - Item 1E],"1",Table27[AFTER - Item 1E],"2")</f>
        <v>0</v>
      </c>
      <c r="AF44" s="58" t="e">
        <f>AE44/AE52</f>
        <v>#DIV/0!</v>
      </c>
      <c r="AG44" s="60" t="e">
        <f>AE44/AE50</f>
        <v>#DIV/0!</v>
      </c>
      <c r="AH44" s="59" t="e">
        <f t="shared" ref="AH44:AH49" si="8">AH43+AG44</f>
        <v>#DIV/0!</v>
      </c>
      <c r="AJ44" s="118"/>
      <c r="AK44" s="37" t="s">
        <v>80</v>
      </c>
      <c r="AL44" s="33">
        <f>COUNTIFS(Table278[BEFORE- Item 1F],"1",Table278[AFTER- Item 1F],"2")</f>
        <v>0</v>
      </c>
      <c r="AM44" s="58" t="e">
        <f>AL44/AL52</f>
        <v>#DIV/0!</v>
      </c>
      <c r="AN44" s="60" t="e">
        <f>AL44/AL50</f>
        <v>#DIV/0!</v>
      </c>
      <c r="AO44" s="59" t="e">
        <f t="shared" ref="AO44:AO49" si="9">AO43+AN44</f>
        <v>#DIV/0!</v>
      </c>
      <c r="AQ44" s="118"/>
      <c r="AR44" s="37" t="s">
        <v>80</v>
      </c>
      <c r="AS44" s="33">
        <f>COUNTIFS(Table259[BEFORE - Item 1G], "1", Table259[AFTER -Item 1G],"2")</f>
        <v>0</v>
      </c>
      <c r="AT44" s="58" t="e">
        <f>AS44/AS52</f>
        <v>#DIV/0!</v>
      </c>
      <c r="AU44" s="60" t="e">
        <f>AS44/AS50</f>
        <v>#DIV/0!</v>
      </c>
      <c r="AV44" s="59" t="e">
        <f t="shared" si="0"/>
        <v>#DIV/0!</v>
      </c>
      <c r="AX44" s="118"/>
      <c r="AY44" s="37" t="s">
        <v>80</v>
      </c>
      <c r="AZ44" s="33">
        <f>COUNTIFS(Table2610[BEFORE - Item 1H], "1", Table2610[AFTER - Item 1H], "2")</f>
        <v>0</v>
      </c>
      <c r="BA44" s="58" t="e">
        <f>AZ44/AZ52</f>
        <v>#DIV/0!</v>
      </c>
      <c r="BB44" s="60" t="e">
        <f>AZ44/AZ50</f>
        <v>#DIV/0!</v>
      </c>
      <c r="BC44" s="59" t="e">
        <f t="shared" si="1"/>
        <v>#DIV/0!</v>
      </c>
      <c r="BE44" s="118"/>
      <c r="BF44" s="37" t="s">
        <v>80</v>
      </c>
      <c r="BG44" s="33">
        <f>COUNTIFS(Table2711[BEFORE - Item 1I],"1",Table2711[AFTER - Item 1I],"2")</f>
        <v>0</v>
      </c>
      <c r="BH44" s="58" t="e">
        <f>BG44/BG52</f>
        <v>#DIV/0!</v>
      </c>
      <c r="BI44" s="60" t="e">
        <f>BG44/BG50</f>
        <v>#DIV/0!</v>
      </c>
      <c r="BJ44" s="59" t="e">
        <f t="shared" si="2"/>
        <v>#DIV/0!</v>
      </c>
      <c r="BL44" s="118"/>
      <c r="BM44" s="37" t="s">
        <v>80</v>
      </c>
      <c r="BN44" s="33">
        <f>COUNTIFS(Table27812[BEFORE- Item 1J], "1", Table27812[AFTER- Item 1J], "2")</f>
        <v>0</v>
      </c>
      <c r="BO44" s="58" t="e">
        <f>BN44/BN52</f>
        <v>#DIV/0!</v>
      </c>
      <c r="BP44" s="60" t="e">
        <f>BN44/BN50</f>
        <v>#DIV/0!</v>
      </c>
      <c r="BQ44" s="59" t="e">
        <f t="shared" si="3"/>
        <v>#DIV/0!</v>
      </c>
    </row>
    <row r="45" spans="1:69" x14ac:dyDescent="0.2">
      <c r="A45" s="118"/>
      <c r="B45" s="44" t="s">
        <v>81</v>
      </c>
      <c r="C45" s="33">
        <f>COUNTIFS(Table2[BEFORE - Item 1A],"4",Table2[AFTER - Item 1A],"4")</f>
        <v>0</v>
      </c>
      <c r="D45" s="58" t="e">
        <f>C45/C52</f>
        <v>#DIV/0!</v>
      </c>
      <c r="E45" s="60" t="e">
        <f>C45/C50</f>
        <v>#DIV/0!</v>
      </c>
      <c r="F45" s="59" t="e">
        <f t="shared" si="4"/>
        <v>#DIV/0!</v>
      </c>
      <c r="H45" s="118"/>
      <c r="I45" s="37" t="s">
        <v>81</v>
      </c>
      <c r="J45" s="33">
        <f>COUNTIFS(Table24[BEFORE - Item 1B],"4",Table24[AFTER - Item 1B],"4")</f>
        <v>0</v>
      </c>
      <c r="K45" s="58" t="e">
        <f>J45/J52</f>
        <v>#DIV/0!</v>
      </c>
      <c r="L45" s="60" t="e">
        <f>J45/J50</f>
        <v>#DIV/0!</v>
      </c>
      <c r="M45" s="59" t="e">
        <f t="shared" si="5"/>
        <v>#DIV/0!</v>
      </c>
      <c r="O45" s="118"/>
      <c r="P45" s="37" t="s">
        <v>81</v>
      </c>
      <c r="Q45" s="33">
        <f>COUNTIFS(Table25[BEFORE - Item 1C],"4",Table25[AFTER -Item 1C],"4")</f>
        <v>0</v>
      </c>
      <c r="R45" s="58" t="e">
        <f>Q45/Q52</f>
        <v>#DIV/0!</v>
      </c>
      <c r="S45" s="60" t="e">
        <f>Q45/Q50</f>
        <v>#DIV/0!</v>
      </c>
      <c r="T45" s="59" t="e">
        <f t="shared" si="6"/>
        <v>#DIV/0!</v>
      </c>
      <c r="V45" s="118"/>
      <c r="W45" s="37" t="s">
        <v>81</v>
      </c>
      <c r="X45" s="33">
        <f>COUNTIFS(Table26[BEFORE - Item 1D],"4",Table26[AFTER - Item 1D],"4")</f>
        <v>0</v>
      </c>
      <c r="Y45" s="58" t="e">
        <f>X45/X52</f>
        <v>#DIV/0!</v>
      </c>
      <c r="Z45" s="60" t="e">
        <f>X45/X50</f>
        <v>#DIV/0!</v>
      </c>
      <c r="AA45" s="59" t="e">
        <f t="shared" si="7"/>
        <v>#DIV/0!</v>
      </c>
      <c r="AC45" s="118"/>
      <c r="AD45" s="37" t="s">
        <v>81</v>
      </c>
      <c r="AE45" s="33">
        <f>COUNTIFS(Table27[BEFORE - Item 1E],"4",Table27[AFTER - Item 1E],"4")</f>
        <v>0</v>
      </c>
      <c r="AF45" s="58" t="e">
        <f>AE45/AE52</f>
        <v>#DIV/0!</v>
      </c>
      <c r="AG45" s="60" t="e">
        <f>AE45/AE50</f>
        <v>#DIV/0!</v>
      </c>
      <c r="AH45" s="59" t="e">
        <f t="shared" si="8"/>
        <v>#DIV/0!</v>
      </c>
      <c r="AJ45" s="118"/>
      <c r="AK45" s="37" t="s">
        <v>81</v>
      </c>
      <c r="AL45" s="33">
        <f>COUNTIFS(Table278[BEFORE- Item 1F],"4",Table278[AFTER- Item 1F],"4")</f>
        <v>0</v>
      </c>
      <c r="AM45" s="58" t="e">
        <f>AL45/AL52</f>
        <v>#DIV/0!</v>
      </c>
      <c r="AN45" s="60" t="e">
        <f>AL45/AL50</f>
        <v>#DIV/0!</v>
      </c>
      <c r="AO45" s="59" t="e">
        <f t="shared" si="9"/>
        <v>#DIV/0!</v>
      </c>
      <c r="AQ45" s="118"/>
      <c r="AR45" s="37" t="s">
        <v>81</v>
      </c>
      <c r="AS45" s="33">
        <f>COUNTIFS(Table259[BEFORE - Item 1G], "4", Table259[AFTER -Item 1G],"4")</f>
        <v>0</v>
      </c>
      <c r="AT45" s="58" t="e">
        <f>AS45/AS52</f>
        <v>#DIV/0!</v>
      </c>
      <c r="AU45" s="60" t="e">
        <f>AS45/AS50</f>
        <v>#DIV/0!</v>
      </c>
      <c r="AV45" s="59" t="e">
        <f t="shared" si="0"/>
        <v>#DIV/0!</v>
      </c>
      <c r="AX45" s="118"/>
      <c r="AY45" s="37" t="s">
        <v>81</v>
      </c>
      <c r="AZ45" s="33">
        <f>COUNTIFS(Table2610[BEFORE - Item 1H], "4", Table2610[AFTER - Item 1H], "4")</f>
        <v>0</v>
      </c>
      <c r="BA45" s="58" t="e">
        <f>AZ45/AZ52</f>
        <v>#DIV/0!</v>
      </c>
      <c r="BB45" s="60" t="e">
        <f>AZ45/AZ50</f>
        <v>#DIV/0!</v>
      </c>
      <c r="BC45" s="59" t="e">
        <f t="shared" si="1"/>
        <v>#DIV/0!</v>
      </c>
      <c r="BE45" s="118"/>
      <c r="BF45" s="37" t="s">
        <v>81</v>
      </c>
      <c r="BG45" s="33">
        <f>COUNTIFS(Table2711[BEFORE - Item 1I],"4",Table2711[AFTER - Item 1I],"4")</f>
        <v>0</v>
      </c>
      <c r="BH45" s="58" t="e">
        <f>BG45/BG52</f>
        <v>#DIV/0!</v>
      </c>
      <c r="BI45" s="60" t="e">
        <f>BG45/BG50</f>
        <v>#DIV/0!</v>
      </c>
      <c r="BJ45" s="59" t="e">
        <f t="shared" si="2"/>
        <v>#DIV/0!</v>
      </c>
      <c r="BL45" s="118"/>
      <c r="BM45" s="37" t="s">
        <v>81</v>
      </c>
      <c r="BN45" s="33">
        <f>COUNTIFS(Table27812[BEFORE- Item 1J], "4", Table27812[AFTER- Item 1J], "4")</f>
        <v>0</v>
      </c>
      <c r="BO45" s="58" t="e">
        <f>BN45/BN52</f>
        <v>#DIV/0!</v>
      </c>
      <c r="BP45" s="60" t="e">
        <f>BN45/BN50</f>
        <v>#DIV/0!</v>
      </c>
      <c r="BQ45" s="59" t="e">
        <f t="shared" si="3"/>
        <v>#DIV/0!</v>
      </c>
    </row>
    <row r="46" spans="1:69" x14ac:dyDescent="0.2">
      <c r="A46" s="118"/>
      <c r="B46" s="44" t="s">
        <v>82</v>
      </c>
      <c r="C46" s="33">
        <f>COUNTIFS(Table2[BEFORE - Item 1A],"3",Table2[AFTER - Item 1A],"3")</f>
        <v>0</v>
      </c>
      <c r="D46" s="58" t="e">
        <f>C46/C52</f>
        <v>#DIV/0!</v>
      </c>
      <c r="E46" s="60" t="e">
        <f>C46/C50</f>
        <v>#DIV/0!</v>
      </c>
      <c r="F46" s="59" t="e">
        <f t="shared" si="4"/>
        <v>#DIV/0!</v>
      </c>
      <c r="H46" s="118"/>
      <c r="I46" s="37" t="s">
        <v>82</v>
      </c>
      <c r="J46" s="33">
        <f>COUNTIFS(Table24[BEFORE - Item 1B],"3",Table24[AFTER - Item 1B],"3")</f>
        <v>0</v>
      </c>
      <c r="K46" s="58" t="e">
        <f>J46/J52</f>
        <v>#DIV/0!</v>
      </c>
      <c r="L46" s="60" t="e">
        <f>J46/J50</f>
        <v>#DIV/0!</v>
      </c>
      <c r="M46" s="59" t="e">
        <f t="shared" si="5"/>
        <v>#DIV/0!</v>
      </c>
      <c r="O46" s="118"/>
      <c r="P46" s="37" t="s">
        <v>82</v>
      </c>
      <c r="Q46" s="33">
        <f>COUNTIFS(Table25[BEFORE - Item 1C],"3",Table25[AFTER -Item 1C],"3")</f>
        <v>0</v>
      </c>
      <c r="R46" s="58" t="e">
        <f>Q46/Q52</f>
        <v>#DIV/0!</v>
      </c>
      <c r="S46" s="60" t="e">
        <f>Q46/Q50</f>
        <v>#DIV/0!</v>
      </c>
      <c r="T46" s="59" t="e">
        <f t="shared" si="6"/>
        <v>#DIV/0!</v>
      </c>
      <c r="V46" s="118"/>
      <c r="W46" s="37" t="s">
        <v>82</v>
      </c>
      <c r="X46" s="33">
        <f>COUNTIFS(Table26[BEFORE - Item 1D],"3",Table26[AFTER - Item 1D],"3")</f>
        <v>0</v>
      </c>
      <c r="Y46" s="58" t="e">
        <f>X46/X52</f>
        <v>#DIV/0!</v>
      </c>
      <c r="Z46" s="60" t="e">
        <f>X46/X50</f>
        <v>#DIV/0!</v>
      </c>
      <c r="AA46" s="59" t="e">
        <f t="shared" si="7"/>
        <v>#DIV/0!</v>
      </c>
      <c r="AC46" s="118"/>
      <c r="AD46" s="37" t="s">
        <v>82</v>
      </c>
      <c r="AE46" s="33">
        <f>COUNTIFS(Table27[BEFORE - Item 1E],"3",Table27[AFTER - Item 1E],"3")</f>
        <v>0</v>
      </c>
      <c r="AF46" s="58" t="e">
        <f>AE46/AE52</f>
        <v>#DIV/0!</v>
      </c>
      <c r="AG46" s="60" t="e">
        <f>AE46/AE50</f>
        <v>#DIV/0!</v>
      </c>
      <c r="AH46" s="59" t="e">
        <f t="shared" si="8"/>
        <v>#DIV/0!</v>
      </c>
      <c r="AJ46" s="118"/>
      <c r="AK46" s="37" t="s">
        <v>82</v>
      </c>
      <c r="AL46" s="33">
        <f>COUNTIFS(Table278[BEFORE- Item 1F],"3",Table278[AFTER- Item 1F],"3")</f>
        <v>0</v>
      </c>
      <c r="AM46" s="58" t="e">
        <f>AL46/AL52</f>
        <v>#DIV/0!</v>
      </c>
      <c r="AN46" s="60" t="e">
        <f>AL46/AL50</f>
        <v>#DIV/0!</v>
      </c>
      <c r="AO46" s="59" t="e">
        <f t="shared" si="9"/>
        <v>#DIV/0!</v>
      </c>
      <c r="AQ46" s="118"/>
      <c r="AR46" s="37" t="s">
        <v>82</v>
      </c>
      <c r="AS46" s="33">
        <f>COUNTIFS(Table259[BEFORE - Item 1G], "3", Table259[AFTER -Item 1G],"3")</f>
        <v>0</v>
      </c>
      <c r="AT46" s="58" t="e">
        <f>AS46/AS52</f>
        <v>#DIV/0!</v>
      </c>
      <c r="AU46" s="60" t="e">
        <f>AS46/AS50</f>
        <v>#DIV/0!</v>
      </c>
      <c r="AV46" s="59" t="e">
        <f t="shared" si="0"/>
        <v>#DIV/0!</v>
      </c>
      <c r="AX46" s="118"/>
      <c r="AY46" s="37" t="s">
        <v>82</v>
      </c>
      <c r="AZ46" s="33">
        <f>COUNTIFS(Table2610[BEFORE - Item 1H], "3", Table2610[AFTER - Item 1H], "3")</f>
        <v>0</v>
      </c>
      <c r="BA46" s="58" t="e">
        <f>AZ46/AZ52</f>
        <v>#DIV/0!</v>
      </c>
      <c r="BB46" s="60" t="e">
        <f>AZ46/AZ50</f>
        <v>#DIV/0!</v>
      </c>
      <c r="BC46" s="59" t="e">
        <f t="shared" si="1"/>
        <v>#DIV/0!</v>
      </c>
      <c r="BE46" s="118"/>
      <c r="BF46" s="37" t="s">
        <v>82</v>
      </c>
      <c r="BG46" s="33">
        <f>COUNTIFS(Table2711[BEFORE - Item 1I],"3",Table2711[AFTER - Item 1I],"3")</f>
        <v>0</v>
      </c>
      <c r="BH46" s="58" t="e">
        <f>BG46/BG52</f>
        <v>#DIV/0!</v>
      </c>
      <c r="BI46" s="60" t="e">
        <f>BG46/BG50</f>
        <v>#DIV/0!</v>
      </c>
      <c r="BJ46" s="59" t="e">
        <f t="shared" si="2"/>
        <v>#DIV/0!</v>
      </c>
      <c r="BL46" s="118"/>
      <c r="BM46" s="37" t="s">
        <v>82</v>
      </c>
      <c r="BN46" s="33">
        <f>COUNTIFS(Table27812[BEFORE- Item 1J], "3", Table27812[AFTER- Item 1J], "3")</f>
        <v>0</v>
      </c>
      <c r="BO46" s="58" t="e">
        <f>BN46/BN52</f>
        <v>#DIV/0!</v>
      </c>
      <c r="BP46" s="60" t="e">
        <f>BN46/BN50</f>
        <v>#DIV/0!</v>
      </c>
      <c r="BQ46" s="59" t="e">
        <f t="shared" si="3"/>
        <v>#DIV/0!</v>
      </c>
    </row>
    <row r="47" spans="1:69" x14ac:dyDescent="0.2">
      <c r="A47" s="118"/>
      <c r="B47" s="45" t="s">
        <v>83</v>
      </c>
      <c r="C47" s="33">
        <f>COUNTIFS(Table2[BEFORE - Item 1A],"2",Table2[AFTER - Item 1A],"2")</f>
        <v>0</v>
      </c>
      <c r="D47" s="58" t="e">
        <f>C47/C52</f>
        <v>#DIV/0!</v>
      </c>
      <c r="E47" s="60" t="e">
        <f>C47/C50</f>
        <v>#DIV/0!</v>
      </c>
      <c r="F47" s="59" t="e">
        <f t="shared" si="4"/>
        <v>#DIV/0!</v>
      </c>
      <c r="H47" s="118"/>
      <c r="I47" s="43" t="s">
        <v>83</v>
      </c>
      <c r="J47" s="33">
        <f>COUNTIFS(Table24[BEFORE - Item 1B],"2",Table24[AFTER - Item 1B],"2")</f>
        <v>0</v>
      </c>
      <c r="K47" s="58" t="e">
        <f>J47/J52</f>
        <v>#DIV/0!</v>
      </c>
      <c r="L47" s="60" t="e">
        <f>J47/J50</f>
        <v>#DIV/0!</v>
      </c>
      <c r="M47" s="59" t="e">
        <f t="shared" si="5"/>
        <v>#DIV/0!</v>
      </c>
      <c r="O47" s="118"/>
      <c r="P47" s="43" t="s">
        <v>83</v>
      </c>
      <c r="Q47" s="33">
        <f>COUNTIFS(Table25[BEFORE - Item 1C],"2",Table25[AFTER -Item 1C],"2")</f>
        <v>0</v>
      </c>
      <c r="R47" s="58" t="e">
        <f>Q47/Q52</f>
        <v>#DIV/0!</v>
      </c>
      <c r="S47" s="60" t="e">
        <f>Q47/Q50</f>
        <v>#DIV/0!</v>
      </c>
      <c r="T47" s="59" t="e">
        <f t="shared" si="6"/>
        <v>#DIV/0!</v>
      </c>
      <c r="V47" s="118"/>
      <c r="W47" s="43" t="s">
        <v>83</v>
      </c>
      <c r="X47" s="33">
        <f>COUNTIFS(Table26[BEFORE - Item 1D],"2",Table26[AFTER - Item 1D],"2")</f>
        <v>0</v>
      </c>
      <c r="Y47" s="58" t="e">
        <f>X47/X52</f>
        <v>#DIV/0!</v>
      </c>
      <c r="Z47" s="60" t="e">
        <f>X47/X50</f>
        <v>#DIV/0!</v>
      </c>
      <c r="AA47" s="59" t="e">
        <f t="shared" si="7"/>
        <v>#DIV/0!</v>
      </c>
      <c r="AC47" s="118"/>
      <c r="AD47" s="43" t="s">
        <v>83</v>
      </c>
      <c r="AE47" s="33">
        <f>COUNTIFS(Table27[BEFORE - Item 1E],"2",Table27[AFTER - Item 1E],"2")</f>
        <v>0</v>
      </c>
      <c r="AF47" s="58" t="e">
        <f>AE47/AE52</f>
        <v>#DIV/0!</v>
      </c>
      <c r="AG47" s="60" t="e">
        <f>AE47/AE50</f>
        <v>#DIV/0!</v>
      </c>
      <c r="AH47" s="59" t="e">
        <f t="shared" si="8"/>
        <v>#DIV/0!</v>
      </c>
      <c r="AJ47" s="118"/>
      <c r="AK47" s="43" t="s">
        <v>83</v>
      </c>
      <c r="AL47" s="33">
        <f>COUNTIFS(Table278[BEFORE- Item 1F],"2",Table278[AFTER- Item 1F],"2")</f>
        <v>0</v>
      </c>
      <c r="AM47" s="58" t="e">
        <f>AL47/AL52</f>
        <v>#DIV/0!</v>
      </c>
      <c r="AN47" s="60" t="e">
        <f>AL47/AL50</f>
        <v>#DIV/0!</v>
      </c>
      <c r="AO47" s="59" t="e">
        <f t="shared" si="9"/>
        <v>#DIV/0!</v>
      </c>
      <c r="AQ47" s="118"/>
      <c r="AR47" s="43" t="s">
        <v>83</v>
      </c>
      <c r="AS47" s="33">
        <f>COUNTIFS(Table259[BEFORE - Item 1G], "2", Table259[AFTER -Item 1G],"2")</f>
        <v>0</v>
      </c>
      <c r="AT47" s="58" t="e">
        <f>AS47/AS52</f>
        <v>#DIV/0!</v>
      </c>
      <c r="AU47" s="60" t="e">
        <f>AS47/AS50</f>
        <v>#DIV/0!</v>
      </c>
      <c r="AV47" s="59" t="e">
        <f t="shared" si="0"/>
        <v>#DIV/0!</v>
      </c>
      <c r="AX47" s="118"/>
      <c r="AY47" s="43" t="s">
        <v>83</v>
      </c>
      <c r="AZ47" s="33">
        <f>COUNTIFS(Table2610[BEFORE - Item 1H], "2", Table2610[AFTER - Item 1H], "2")</f>
        <v>0</v>
      </c>
      <c r="BA47" s="58" t="e">
        <f>AZ47/AZ52</f>
        <v>#DIV/0!</v>
      </c>
      <c r="BB47" s="60" t="e">
        <f>AZ47/AZ50</f>
        <v>#DIV/0!</v>
      </c>
      <c r="BC47" s="59" t="e">
        <f t="shared" si="1"/>
        <v>#DIV/0!</v>
      </c>
      <c r="BE47" s="118"/>
      <c r="BF47" s="43" t="s">
        <v>83</v>
      </c>
      <c r="BG47" s="33">
        <f>COUNTIFS(Table2711[BEFORE - Item 1I],"2",Table2711[AFTER - Item 1I],"2")</f>
        <v>0</v>
      </c>
      <c r="BH47" s="58" t="e">
        <f>BG47/BG52</f>
        <v>#DIV/0!</v>
      </c>
      <c r="BI47" s="60" t="e">
        <f>BG47/BG50</f>
        <v>#DIV/0!</v>
      </c>
      <c r="BJ47" s="59" t="e">
        <f t="shared" si="2"/>
        <v>#DIV/0!</v>
      </c>
      <c r="BL47" s="118"/>
      <c r="BM47" s="43" t="s">
        <v>83</v>
      </c>
      <c r="BN47" s="33">
        <f>COUNTIFS(Table27812[BEFORE- Item 1J], "2", Table27812[AFTER- Item 1J], "2")</f>
        <v>0</v>
      </c>
      <c r="BO47" s="58" t="e">
        <f>BN47/BN52</f>
        <v>#DIV/0!</v>
      </c>
      <c r="BP47" s="60" t="e">
        <f>BN47/BN50</f>
        <v>#DIV/0!</v>
      </c>
      <c r="BQ47" s="59" t="e">
        <f t="shared" si="3"/>
        <v>#DIV/0!</v>
      </c>
    </row>
    <row r="48" spans="1:69" x14ac:dyDescent="0.2">
      <c r="A48" s="118"/>
      <c r="B48" s="44" t="s">
        <v>84</v>
      </c>
      <c r="C48" s="33">
        <f>COUNTIFS(Table2[BEFORE - Item 1A],"1",Table2[AFTER - Item 1A],"1")</f>
        <v>0</v>
      </c>
      <c r="D48" s="58" t="e">
        <f>C48/C52</f>
        <v>#DIV/0!</v>
      </c>
      <c r="E48" s="60" t="e">
        <f>C48/C50</f>
        <v>#DIV/0!</v>
      </c>
      <c r="F48" s="59" t="e">
        <f t="shared" si="4"/>
        <v>#DIV/0!</v>
      </c>
      <c r="H48" s="118"/>
      <c r="I48" s="37" t="s">
        <v>84</v>
      </c>
      <c r="J48" s="33">
        <f>COUNTIFS(Table24[BEFORE - Item 1B],"1",Table24[AFTER - Item 1B],"1")</f>
        <v>0</v>
      </c>
      <c r="K48" s="58" t="e">
        <f>J48/J52</f>
        <v>#DIV/0!</v>
      </c>
      <c r="L48" s="60" t="e">
        <f>J48/J50</f>
        <v>#DIV/0!</v>
      </c>
      <c r="M48" s="59" t="e">
        <f t="shared" si="5"/>
        <v>#DIV/0!</v>
      </c>
      <c r="O48" s="118"/>
      <c r="P48" s="37" t="s">
        <v>84</v>
      </c>
      <c r="Q48" s="33">
        <f>COUNTIFS(Table25[BEFORE - Item 1C],"1",Table25[AFTER -Item 1C],"1")</f>
        <v>0</v>
      </c>
      <c r="R48" s="58" t="e">
        <f>Q48/Q52</f>
        <v>#DIV/0!</v>
      </c>
      <c r="S48" s="60" t="e">
        <f>Q48/Q50</f>
        <v>#DIV/0!</v>
      </c>
      <c r="T48" s="59" t="e">
        <f t="shared" si="6"/>
        <v>#DIV/0!</v>
      </c>
      <c r="V48" s="118"/>
      <c r="W48" s="37" t="s">
        <v>84</v>
      </c>
      <c r="X48" s="33">
        <f>COUNTIFS(Table26[BEFORE - Item 1D],"1",Table26[AFTER - Item 1D],"1")</f>
        <v>0</v>
      </c>
      <c r="Y48" s="58" t="e">
        <f>X48/X52</f>
        <v>#DIV/0!</v>
      </c>
      <c r="Z48" s="60" t="e">
        <f>X48/X50</f>
        <v>#DIV/0!</v>
      </c>
      <c r="AA48" s="59" t="e">
        <f t="shared" si="7"/>
        <v>#DIV/0!</v>
      </c>
      <c r="AC48" s="118"/>
      <c r="AD48" s="37" t="s">
        <v>84</v>
      </c>
      <c r="AE48" s="33">
        <f>COUNTIFS(Table27[BEFORE - Item 1E],"1",Table27[AFTER - Item 1E],"1")</f>
        <v>0</v>
      </c>
      <c r="AF48" s="58" t="e">
        <f>AE48/AE52</f>
        <v>#DIV/0!</v>
      </c>
      <c r="AG48" s="60" t="e">
        <f>AE48/AE50</f>
        <v>#DIV/0!</v>
      </c>
      <c r="AH48" s="59" t="e">
        <f t="shared" si="8"/>
        <v>#DIV/0!</v>
      </c>
      <c r="AJ48" s="118"/>
      <c r="AK48" s="37" t="s">
        <v>84</v>
      </c>
      <c r="AL48" s="33">
        <f>COUNTIFS(Table278[BEFORE- Item 1F],"1",Table278[AFTER- Item 1F],"1")</f>
        <v>0</v>
      </c>
      <c r="AM48" s="58" t="e">
        <f>AL48/AL52</f>
        <v>#DIV/0!</v>
      </c>
      <c r="AN48" s="60" t="e">
        <f>AL48/AL50</f>
        <v>#DIV/0!</v>
      </c>
      <c r="AO48" s="59" t="e">
        <f t="shared" si="9"/>
        <v>#DIV/0!</v>
      </c>
      <c r="AQ48" s="118"/>
      <c r="AR48" s="37" t="s">
        <v>84</v>
      </c>
      <c r="AS48" s="33">
        <f>COUNTIFS(Table259[BEFORE - Item 1G], "1", Table259[AFTER -Item 1G],"1")</f>
        <v>0</v>
      </c>
      <c r="AT48" s="58" t="e">
        <f>AS48/AS52</f>
        <v>#DIV/0!</v>
      </c>
      <c r="AU48" s="60" t="e">
        <f>AS48/AS50</f>
        <v>#DIV/0!</v>
      </c>
      <c r="AV48" s="59" t="e">
        <f t="shared" si="0"/>
        <v>#DIV/0!</v>
      </c>
      <c r="AX48" s="118"/>
      <c r="AY48" s="37" t="s">
        <v>84</v>
      </c>
      <c r="AZ48" s="33">
        <f>COUNTIFS(Table2610[BEFORE - Item 1H], "1", Table2610[AFTER - Item 1H], "1")</f>
        <v>0</v>
      </c>
      <c r="BA48" s="58" t="e">
        <f>AZ48/AZ52</f>
        <v>#DIV/0!</v>
      </c>
      <c r="BB48" s="60" t="e">
        <f>AZ48/AZ50</f>
        <v>#DIV/0!</v>
      </c>
      <c r="BC48" s="59" t="e">
        <f t="shared" si="1"/>
        <v>#DIV/0!</v>
      </c>
      <c r="BE48" s="118"/>
      <c r="BF48" s="37" t="s">
        <v>84</v>
      </c>
      <c r="BG48" s="33">
        <f>COUNTIFS(Table2711[BEFORE - Item 1I],"1",Table2711[AFTER - Item 1I],"1")</f>
        <v>0</v>
      </c>
      <c r="BH48" s="58" t="e">
        <f>BG48/BG52</f>
        <v>#DIV/0!</v>
      </c>
      <c r="BI48" s="60" t="e">
        <f>BG48/BG50</f>
        <v>#DIV/0!</v>
      </c>
      <c r="BJ48" s="59" t="e">
        <f t="shared" si="2"/>
        <v>#DIV/0!</v>
      </c>
      <c r="BL48" s="118"/>
      <c r="BM48" s="37" t="s">
        <v>84</v>
      </c>
      <c r="BN48" s="33">
        <f>COUNTIFS(Table27812[BEFORE- Item 1J], "1", Table27812[AFTER- Item 1J], "1")</f>
        <v>0</v>
      </c>
      <c r="BO48" s="58" t="e">
        <f>BN48/BN52</f>
        <v>#DIV/0!</v>
      </c>
      <c r="BP48" s="60" t="e">
        <f>BN48/BN50</f>
        <v>#DIV/0!</v>
      </c>
      <c r="BQ48" s="59" t="e">
        <f t="shared" si="3"/>
        <v>#DIV/0!</v>
      </c>
    </row>
    <row r="49" spans="1:69" x14ac:dyDescent="0.2">
      <c r="A49" s="118"/>
      <c r="B49" s="44" t="s">
        <v>85</v>
      </c>
      <c r="C49" s="33">
        <f>C52-(SUM(C39:C48)+C51)</f>
        <v>0</v>
      </c>
      <c r="D49" s="58" t="e">
        <f>C49/C52</f>
        <v>#DIV/0!</v>
      </c>
      <c r="E49" s="60" t="e">
        <f>C49/C50</f>
        <v>#DIV/0!</v>
      </c>
      <c r="F49" s="59" t="e">
        <f t="shared" si="4"/>
        <v>#DIV/0!</v>
      </c>
      <c r="H49" s="118"/>
      <c r="I49" s="37" t="s">
        <v>85</v>
      </c>
      <c r="J49" s="33">
        <f>J52-(SUM(J39:J48)+J51)</f>
        <v>0</v>
      </c>
      <c r="K49" s="58" t="e">
        <f>J49/J52</f>
        <v>#DIV/0!</v>
      </c>
      <c r="L49" s="60" t="e">
        <f>J49/J50</f>
        <v>#DIV/0!</v>
      </c>
      <c r="M49" s="59" t="e">
        <f t="shared" si="5"/>
        <v>#DIV/0!</v>
      </c>
      <c r="O49" s="118"/>
      <c r="P49" s="37" t="s">
        <v>85</v>
      </c>
      <c r="Q49" s="33">
        <f>Q52-(SUM(Q39:Q48)+Q51)</f>
        <v>0</v>
      </c>
      <c r="R49" s="58" t="e">
        <f>Q49/Q52</f>
        <v>#DIV/0!</v>
      </c>
      <c r="S49" s="60" t="e">
        <f>Q49/Q50</f>
        <v>#DIV/0!</v>
      </c>
      <c r="T49" s="59" t="e">
        <f t="shared" si="6"/>
        <v>#DIV/0!</v>
      </c>
      <c r="V49" s="118"/>
      <c r="W49" s="37" t="s">
        <v>85</v>
      </c>
      <c r="X49" s="33">
        <f>X52-(SUM(X39:X48)+X51)</f>
        <v>0</v>
      </c>
      <c r="Y49" s="58" t="e">
        <f>X49/X52</f>
        <v>#DIV/0!</v>
      </c>
      <c r="Z49" s="60" t="e">
        <f>X49/X50</f>
        <v>#DIV/0!</v>
      </c>
      <c r="AA49" s="59" t="e">
        <f t="shared" si="7"/>
        <v>#DIV/0!</v>
      </c>
      <c r="AC49" s="118"/>
      <c r="AD49" s="37" t="s">
        <v>85</v>
      </c>
      <c r="AE49" s="33">
        <f>AE52-(SUM(AE39:AE48)+AE51)</f>
        <v>0</v>
      </c>
      <c r="AF49" s="58" t="e">
        <f>AE49/AE52</f>
        <v>#DIV/0!</v>
      </c>
      <c r="AG49" s="60" t="e">
        <f>AE49/AE50</f>
        <v>#DIV/0!</v>
      </c>
      <c r="AH49" s="59" t="e">
        <f t="shared" si="8"/>
        <v>#DIV/0!</v>
      </c>
      <c r="AJ49" s="118"/>
      <c r="AK49" s="37" t="s">
        <v>85</v>
      </c>
      <c r="AL49" s="33">
        <f>AL52-(SUM(AL39:AL48)+AL51)</f>
        <v>0</v>
      </c>
      <c r="AM49" s="58" t="e">
        <f>AL49/AL52</f>
        <v>#DIV/0!</v>
      </c>
      <c r="AN49" s="60" t="e">
        <f>AL49/AL50</f>
        <v>#DIV/0!</v>
      </c>
      <c r="AO49" s="59" t="e">
        <f t="shared" si="9"/>
        <v>#DIV/0!</v>
      </c>
      <c r="AQ49" s="118"/>
      <c r="AR49" s="37" t="s">
        <v>85</v>
      </c>
      <c r="AS49" s="33">
        <f>AS52-(SUM(AS39:AS48)+AS51)</f>
        <v>0</v>
      </c>
      <c r="AT49" s="58" t="e">
        <f>AS49/AS52</f>
        <v>#DIV/0!</v>
      </c>
      <c r="AU49" s="60" t="e">
        <f>AS49/AS50</f>
        <v>#DIV/0!</v>
      </c>
      <c r="AV49" s="59" t="e">
        <f t="shared" si="0"/>
        <v>#DIV/0!</v>
      </c>
      <c r="AX49" s="118"/>
      <c r="AY49" s="37" t="s">
        <v>85</v>
      </c>
      <c r="AZ49" s="33">
        <f>AZ52-(SUM(AZ39:AZ48)+AZ51)</f>
        <v>0</v>
      </c>
      <c r="BA49" s="58" t="e">
        <f>AZ49/AZ52</f>
        <v>#DIV/0!</v>
      </c>
      <c r="BB49" s="60" t="e">
        <f>AZ49/AZ50</f>
        <v>#DIV/0!</v>
      </c>
      <c r="BC49" s="59" t="e">
        <f t="shared" si="1"/>
        <v>#DIV/0!</v>
      </c>
      <c r="BE49" s="118"/>
      <c r="BF49" s="37" t="s">
        <v>85</v>
      </c>
      <c r="BG49" s="33">
        <f>BG52-(SUM(BG39:BG48)+BG51)</f>
        <v>0</v>
      </c>
      <c r="BH49" s="58" t="e">
        <f>BG49/BG52</f>
        <v>#DIV/0!</v>
      </c>
      <c r="BI49" s="60" t="e">
        <f>BG49/BG50</f>
        <v>#DIV/0!</v>
      </c>
      <c r="BJ49" s="59" t="e">
        <f t="shared" si="2"/>
        <v>#DIV/0!</v>
      </c>
      <c r="BL49" s="118"/>
      <c r="BM49" s="37" t="s">
        <v>85</v>
      </c>
      <c r="BN49" s="33">
        <f>BN52-(SUM(BN39:BN48)+BN51)</f>
        <v>0</v>
      </c>
      <c r="BO49" s="58" t="e">
        <f>BN49/BN52</f>
        <v>#DIV/0!</v>
      </c>
      <c r="BP49" s="60" t="e">
        <f>BN49/BN50</f>
        <v>#DIV/0!</v>
      </c>
      <c r="BQ49" s="59" t="e">
        <f t="shared" si="3"/>
        <v>#DIV/0!</v>
      </c>
    </row>
    <row r="50" spans="1:69" x14ac:dyDescent="0.2">
      <c r="A50" s="118"/>
      <c r="B50" s="46" t="s">
        <v>66</v>
      </c>
      <c r="C50" s="33">
        <f>SUM(C39:C49)</f>
        <v>0</v>
      </c>
      <c r="D50" s="58" t="e">
        <f>SUM(D39:D49)</f>
        <v>#DIV/0!</v>
      </c>
      <c r="E50" s="60" t="e">
        <f>SUM(E39:E49)</f>
        <v>#DIV/0!</v>
      </c>
      <c r="H50" s="118"/>
      <c r="I50" s="37" t="s">
        <v>66</v>
      </c>
      <c r="J50" s="33">
        <f>SUM(J39:J49)</f>
        <v>0</v>
      </c>
      <c r="K50" s="58" t="e">
        <f>SUM(K39:K49)</f>
        <v>#DIV/0!</v>
      </c>
      <c r="L50" s="60" t="e">
        <f>SUM(L39:L49)</f>
        <v>#DIV/0!</v>
      </c>
      <c r="O50" s="133"/>
      <c r="P50" s="37" t="s">
        <v>66</v>
      </c>
      <c r="Q50" s="33">
        <f>SUM(Q39:Q49)</f>
        <v>0</v>
      </c>
      <c r="R50" s="58" t="e">
        <f>SUM(R39:R49)</f>
        <v>#DIV/0!</v>
      </c>
      <c r="S50" s="60" t="e">
        <f>SUM(S39:S49)</f>
        <v>#DIV/0!</v>
      </c>
      <c r="V50" s="118"/>
      <c r="W50" s="37" t="s">
        <v>66</v>
      </c>
      <c r="X50" s="33">
        <f>SUM(X39:X49)</f>
        <v>0</v>
      </c>
      <c r="Y50" s="58" t="e">
        <f>SUM(Y39:Y49)</f>
        <v>#DIV/0!</v>
      </c>
      <c r="Z50" s="60" t="e">
        <f>SUM(Z39:Z49)</f>
        <v>#DIV/0!</v>
      </c>
      <c r="AA50" s="56"/>
      <c r="AC50" s="118"/>
      <c r="AD50" s="37" t="s">
        <v>66</v>
      </c>
      <c r="AE50" s="33">
        <f>SUM(AE39:AE49)</f>
        <v>0</v>
      </c>
      <c r="AF50" s="58" t="e">
        <f>SUM(AF39:AF49)</f>
        <v>#DIV/0!</v>
      </c>
      <c r="AG50" s="65" t="e">
        <f>SUM(AG39:AG49)</f>
        <v>#DIV/0!</v>
      </c>
      <c r="AH50" s="56"/>
      <c r="AJ50" s="118"/>
      <c r="AK50" s="37" t="s">
        <v>66</v>
      </c>
      <c r="AL50" s="33">
        <f>SUM(AL39:AL49)</f>
        <v>0</v>
      </c>
      <c r="AM50" s="58" t="e">
        <f>SUM(AM39:AM49)</f>
        <v>#DIV/0!</v>
      </c>
      <c r="AN50" s="60" t="e">
        <f>SUM(AN39:AN49)</f>
        <v>#DIV/0!</v>
      </c>
      <c r="AO50" s="56"/>
      <c r="AQ50" s="118"/>
      <c r="AR50" s="37" t="s">
        <v>66</v>
      </c>
      <c r="AS50" s="33">
        <f>SUM(AS39:AS49)</f>
        <v>0</v>
      </c>
      <c r="AT50" s="58" t="e">
        <f>SUM(AT39:AT49)</f>
        <v>#DIV/0!</v>
      </c>
      <c r="AU50" s="60" t="e">
        <f>SUM(AU39:AU49)</f>
        <v>#DIV/0!</v>
      </c>
      <c r="AV50" s="56"/>
      <c r="AX50" s="118"/>
      <c r="AY50" s="37" t="s">
        <v>66</v>
      </c>
      <c r="AZ50" s="33">
        <f>SUM(AZ39:AZ49)</f>
        <v>0</v>
      </c>
      <c r="BA50" s="58" t="e">
        <f>SUM(BA39:BA49)</f>
        <v>#DIV/0!</v>
      </c>
      <c r="BB50" s="60" t="e">
        <f>SUM(BB39:BB49)</f>
        <v>#DIV/0!</v>
      </c>
      <c r="BC50" s="56"/>
      <c r="BE50" s="118"/>
      <c r="BF50" s="37" t="s">
        <v>66</v>
      </c>
      <c r="BG50" s="33">
        <f>SUM(BG39:BG49)</f>
        <v>0</v>
      </c>
      <c r="BH50" s="58" t="e">
        <f>SUM(BH39:BH49)</f>
        <v>#DIV/0!</v>
      </c>
      <c r="BI50" s="60" t="e">
        <f>SUM(BI39:BI49)</f>
        <v>#DIV/0!</v>
      </c>
      <c r="BJ50" s="56"/>
      <c r="BL50" s="118"/>
      <c r="BM50" s="37" t="s">
        <v>66</v>
      </c>
      <c r="BN50" s="33">
        <f>SUM(BN39:BN49)</f>
        <v>0</v>
      </c>
      <c r="BO50" s="58" t="e">
        <f>SUM(BO39:BO49)</f>
        <v>#DIV/0!</v>
      </c>
      <c r="BP50" s="60" t="e">
        <f>SUM(BP39:BP49)</f>
        <v>#DIV/0!</v>
      </c>
      <c r="BQ50" s="56"/>
    </row>
    <row r="51" spans="1:69" x14ac:dyDescent="0.2">
      <c r="A51" s="33" t="s">
        <v>67</v>
      </c>
      <c r="B51" s="37" t="s">
        <v>68</v>
      </c>
      <c r="C51" s="47">
        <f>COUNTBLANK(Table12[Item 1A])</f>
        <v>0</v>
      </c>
      <c r="D51" s="62" t="e">
        <f>C51/C52</f>
        <v>#DIV/0!</v>
      </c>
      <c r="H51" s="33" t="s">
        <v>67</v>
      </c>
      <c r="I51" s="37" t="s">
        <v>68</v>
      </c>
      <c r="J51" s="33">
        <f>COUNTBLANK(Table13[Item 1B])</f>
        <v>0</v>
      </c>
      <c r="K51" s="58" t="e">
        <f>J51/J52</f>
        <v>#DIV/0!</v>
      </c>
      <c r="O51" s="33" t="s">
        <v>67</v>
      </c>
      <c r="P51" s="38" t="s">
        <v>68</v>
      </c>
      <c r="Q51" s="47">
        <f>COUNTBLANK(Table14[Item 1C])</f>
        <v>0</v>
      </c>
      <c r="R51" s="62" t="e">
        <f>Q51/Q52</f>
        <v>#DIV/0!</v>
      </c>
      <c r="V51" s="33" t="s">
        <v>67</v>
      </c>
      <c r="W51" s="37" t="s">
        <v>68</v>
      </c>
      <c r="X51" s="33">
        <f>COUNTBLANK(Table15[Item 1D])</f>
        <v>0</v>
      </c>
      <c r="Y51" s="58" t="e">
        <f>X51/X52</f>
        <v>#DIV/0!</v>
      </c>
      <c r="Z51" s="56"/>
      <c r="AA51" s="56"/>
      <c r="AC51" s="33" t="s">
        <v>67</v>
      </c>
      <c r="AD51" s="37" t="s">
        <v>68</v>
      </c>
      <c r="AE51" s="33">
        <f>COUNTBLANK(Table16[Item 1E])</f>
        <v>0</v>
      </c>
      <c r="AF51" s="58" t="e">
        <f>AE51/AE52</f>
        <v>#DIV/0!</v>
      </c>
      <c r="AG51" s="56"/>
      <c r="AH51" s="56"/>
      <c r="AJ51" s="33" t="s">
        <v>67</v>
      </c>
      <c r="AK51" s="37" t="s">
        <v>68</v>
      </c>
      <c r="AL51" s="33">
        <f>COUNTBLANK(Table17[Item 1F])</f>
        <v>0</v>
      </c>
      <c r="AM51" s="58" t="e">
        <f>AL51/AL52</f>
        <v>#DIV/0!</v>
      </c>
      <c r="AN51" s="56"/>
      <c r="AO51" s="56"/>
      <c r="AQ51" s="33" t="s">
        <v>67</v>
      </c>
      <c r="AR51" s="37" t="s">
        <v>68</v>
      </c>
      <c r="AS51" s="33">
        <f>COUNTBLANK(Table1219[Item 1G])</f>
        <v>0</v>
      </c>
      <c r="AT51" s="58" t="e">
        <f>AS51/AS52</f>
        <v>#DIV/0!</v>
      </c>
      <c r="AU51" s="56"/>
      <c r="AV51" s="56"/>
      <c r="AX51" s="33" t="s">
        <v>67</v>
      </c>
      <c r="AY51" s="37" t="s">
        <v>68</v>
      </c>
      <c r="AZ51" s="33">
        <f>COUNTBLANK(Table1220[Item 1H])</f>
        <v>0</v>
      </c>
      <c r="BA51" s="58" t="e">
        <f>AZ51/AZ52</f>
        <v>#DIV/0!</v>
      </c>
      <c r="BB51" s="56"/>
      <c r="BC51" s="56"/>
      <c r="BE51" s="33" t="s">
        <v>67</v>
      </c>
      <c r="BF51" s="37" t="s">
        <v>68</v>
      </c>
      <c r="BG51" s="33">
        <f>COUNTBLANK(Table1221[Item 1I])</f>
        <v>0</v>
      </c>
      <c r="BH51" s="58" t="e">
        <f>BG51/BG52</f>
        <v>#DIV/0!</v>
      </c>
      <c r="BI51" s="56"/>
      <c r="BJ51" s="56"/>
      <c r="BL51" s="33" t="s">
        <v>67</v>
      </c>
      <c r="BM51" s="37" t="s">
        <v>68</v>
      </c>
      <c r="BN51" s="33">
        <f>COUNTBLANK(Table1224[Item 1J])</f>
        <v>0</v>
      </c>
      <c r="BO51" s="58" t="e">
        <f>BN51/BN52</f>
        <v>#DIV/0!</v>
      </c>
      <c r="BP51" s="56"/>
      <c r="BQ51" s="56"/>
    </row>
    <row r="52" spans="1:69" x14ac:dyDescent="0.2">
      <c r="A52" s="33" t="s">
        <v>66</v>
      </c>
      <c r="B52" s="33"/>
      <c r="C52" s="33">
        <f>COUNT(Table12[Item 1A])+COUNTBLANK(Table12[Item 1A])</f>
        <v>0</v>
      </c>
      <c r="D52" s="58" t="e">
        <f>SUM(D50:D51)</f>
        <v>#DIV/0!</v>
      </c>
      <c r="H52" s="33" t="s">
        <v>66</v>
      </c>
      <c r="I52" s="33"/>
      <c r="J52" s="33">
        <f>COUNT(Table13[Item 1B])+ COUNTBLANK(Table13[Item 1B])</f>
        <v>0</v>
      </c>
      <c r="K52" s="58" t="e">
        <f>SUM(K50:K51)</f>
        <v>#DIV/0!</v>
      </c>
      <c r="O52" s="33" t="s">
        <v>66</v>
      </c>
      <c r="P52" s="33"/>
      <c r="Q52" s="33">
        <f>COUNT(Table14[Item 1C]) + COUNTBLANK(Table14[Item 1C])</f>
        <v>0</v>
      </c>
      <c r="R52" s="58" t="e">
        <f>SUM(R50:R51)</f>
        <v>#DIV/0!</v>
      </c>
      <c r="V52" s="33" t="s">
        <v>66</v>
      </c>
      <c r="W52" s="33"/>
      <c r="X52" s="33">
        <f>COUNT(Table15[Item 1D])+ COUNTBLANK(Table15[Item 1D])</f>
        <v>0</v>
      </c>
      <c r="Y52" s="58" t="e">
        <f>SUM(Y50:Y51)</f>
        <v>#DIV/0!</v>
      </c>
      <c r="Z52" s="56"/>
      <c r="AA52" s="56"/>
      <c r="AC52" s="33" t="s">
        <v>66</v>
      </c>
      <c r="AD52" s="33"/>
      <c r="AE52" s="33">
        <f>COUNT(Table16[Item 1E])+COUNTBLANK(Table16[Item 1E])</f>
        <v>0</v>
      </c>
      <c r="AF52" s="58" t="e">
        <f>SUM(AF50:AF51)</f>
        <v>#DIV/0!</v>
      </c>
      <c r="AG52" s="56"/>
      <c r="AH52" s="56"/>
      <c r="AJ52" s="33" t="s">
        <v>66</v>
      </c>
      <c r="AK52" s="33"/>
      <c r="AL52" s="33">
        <f>COUNT(Table17[Item 1F])+ COUNTBLANK(Table17[Item 1F])</f>
        <v>0</v>
      </c>
      <c r="AM52" s="58" t="e">
        <f>SUM(AM50:AM51)</f>
        <v>#DIV/0!</v>
      </c>
      <c r="AN52" s="56"/>
      <c r="AO52" s="56"/>
      <c r="AQ52" s="33" t="s">
        <v>66</v>
      </c>
      <c r="AR52" s="33"/>
      <c r="AS52" s="33">
        <f>COUNT(Table17[Item 1F])+ COUNTBLANK(Table17[Item 1F])</f>
        <v>0</v>
      </c>
      <c r="AT52" s="58" t="e">
        <f>SUM(AT50:AT51)</f>
        <v>#DIV/0!</v>
      </c>
      <c r="AU52" s="56"/>
      <c r="AV52" s="56"/>
      <c r="AX52" s="33" t="s">
        <v>66</v>
      </c>
      <c r="AY52" s="33"/>
      <c r="AZ52" s="33">
        <f>COUNT(Table17[Item 1F])+ COUNTBLANK(Table17[Item 1F])</f>
        <v>0</v>
      </c>
      <c r="BA52" s="58" t="e">
        <f>SUM(BA50:BA51)</f>
        <v>#DIV/0!</v>
      </c>
      <c r="BB52" s="56"/>
      <c r="BC52" s="56"/>
      <c r="BE52" s="33" t="s">
        <v>66</v>
      </c>
      <c r="BF52" s="33"/>
      <c r="BG52" s="33">
        <f>COUNT(Table17[Item 1F])+ COUNTBLANK(Table17[Item 1F])</f>
        <v>0</v>
      </c>
      <c r="BH52" s="58" t="e">
        <f>SUM(BH50:BH51)</f>
        <v>#DIV/0!</v>
      </c>
      <c r="BI52" s="56"/>
      <c r="BJ52" s="56"/>
      <c r="BL52" s="33" t="s">
        <v>66</v>
      </c>
      <c r="BM52" s="33"/>
      <c r="BN52" s="33">
        <f>COUNT(Table17[Item 1F])+ COUNTBLANK(Table17[Item 1F])</f>
        <v>0</v>
      </c>
      <c r="BO52" s="58" t="e">
        <f>SUM(BO50:BO51)</f>
        <v>#DIV/0!</v>
      </c>
      <c r="BP52" s="56"/>
      <c r="BQ52" s="56"/>
    </row>
  </sheetData>
  <sheetProtection algorithmName="SHA-512" hashValue="T6sX/AcN0jS5A7d4a40cjVEk8Vx2ojFeHiXUT9DONxQ1dYvcfmt+/UI5uCrWj+bfzysbNRznMmhi+v+w4rRSWA==" saltValue="RuzcKMpd57gUvFrz17010w==" spinCount="100000" sheet="1" objects="1" scenarios="1"/>
  <mergeCells count="130">
    <mergeCell ref="V27:W27"/>
    <mergeCell ref="AC27:AD27"/>
    <mergeCell ref="AJ27:AK27"/>
    <mergeCell ref="AJ26:AO26"/>
    <mergeCell ref="AC26:AH26"/>
    <mergeCell ref="V26:AA26"/>
    <mergeCell ref="AJ39:AJ50"/>
    <mergeCell ref="AC28:AC31"/>
    <mergeCell ref="AC37:AH37"/>
    <mergeCell ref="V39:V50"/>
    <mergeCell ref="AC39:AC50"/>
    <mergeCell ref="V38:W38"/>
    <mergeCell ref="AC38:AD38"/>
    <mergeCell ref="AJ38:AK38"/>
    <mergeCell ref="AJ28:AJ31"/>
    <mergeCell ref="AJ37:AO37"/>
    <mergeCell ref="V28:V31"/>
    <mergeCell ref="V37:AA37"/>
    <mergeCell ref="A39:A50"/>
    <mergeCell ref="A15:B15"/>
    <mergeCell ref="A27:B27"/>
    <mergeCell ref="H3:I3"/>
    <mergeCell ref="O3:P3"/>
    <mergeCell ref="A38:B38"/>
    <mergeCell ref="H27:I27"/>
    <mergeCell ref="O27:P27"/>
    <mergeCell ref="O28:O31"/>
    <mergeCell ref="O37:T37"/>
    <mergeCell ref="A28:A31"/>
    <mergeCell ref="A37:F37"/>
    <mergeCell ref="H26:M26"/>
    <mergeCell ref="H28:H31"/>
    <mergeCell ref="H37:M37"/>
    <mergeCell ref="H15:I15"/>
    <mergeCell ref="H39:H50"/>
    <mergeCell ref="O39:O50"/>
    <mergeCell ref="H38:I38"/>
    <mergeCell ref="O38:P38"/>
    <mergeCell ref="O1:T1"/>
    <mergeCell ref="O2:T2"/>
    <mergeCell ref="O4:O8"/>
    <mergeCell ref="O14:T14"/>
    <mergeCell ref="O16:O20"/>
    <mergeCell ref="V3:W3"/>
    <mergeCell ref="AJ1:AO1"/>
    <mergeCell ref="AJ2:AO2"/>
    <mergeCell ref="AJ4:AJ8"/>
    <mergeCell ref="AJ14:AO14"/>
    <mergeCell ref="AJ16:AJ20"/>
    <mergeCell ref="AJ3:AK3"/>
    <mergeCell ref="AJ15:AK15"/>
    <mergeCell ref="AC1:AH1"/>
    <mergeCell ref="AC2:AH2"/>
    <mergeCell ref="AC4:AC8"/>
    <mergeCell ref="AC14:AH14"/>
    <mergeCell ref="AC16:AC20"/>
    <mergeCell ref="AC3:AD3"/>
    <mergeCell ref="AC15:AD15"/>
    <mergeCell ref="AQ2:AV2"/>
    <mergeCell ref="AQ3:AR3"/>
    <mergeCell ref="AQ4:AQ8"/>
    <mergeCell ref="AQ14:AV14"/>
    <mergeCell ref="A1:F1"/>
    <mergeCell ref="A4:A8"/>
    <mergeCell ref="A2:F2"/>
    <mergeCell ref="A26:F26"/>
    <mergeCell ref="A14:F14"/>
    <mergeCell ref="A16:A20"/>
    <mergeCell ref="A3:B3"/>
    <mergeCell ref="H1:M1"/>
    <mergeCell ref="H2:M2"/>
    <mergeCell ref="H4:H8"/>
    <mergeCell ref="H14:M14"/>
    <mergeCell ref="H16:H20"/>
    <mergeCell ref="O26:T26"/>
    <mergeCell ref="V1:AA1"/>
    <mergeCell ref="V2:AA2"/>
    <mergeCell ref="V4:V8"/>
    <mergeCell ref="V14:AA14"/>
    <mergeCell ref="V16:V20"/>
    <mergeCell ref="O15:P15"/>
    <mergeCell ref="V15:W15"/>
    <mergeCell ref="BE4:BE8"/>
    <mergeCell ref="BE14:BJ14"/>
    <mergeCell ref="AQ37:AV37"/>
    <mergeCell ref="AQ38:AR38"/>
    <mergeCell ref="AQ39:AQ50"/>
    <mergeCell ref="AX1:BC1"/>
    <mergeCell ref="AX2:BC2"/>
    <mergeCell ref="AX3:AY3"/>
    <mergeCell ref="AX4:AX8"/>
    <mergeCell ref="AX14:BC14"/>
    <mergeCell ref="AX15:AY15"/>
    <mergeCell ref="AX16:AX20"/>
    <mergeCell ref="AX26:BC26"/>
    <mergeCell ref="AX27:AY27"/>
    <mergeCell ref="AX28:AX31"/>
    <mergeCell ref="AX37:BC37"/>
    <mergeCell ref="AX38:AY38"/>
    <mergeCell ref="AX39:AX50"/>
    <mergeCell ref="AQ15:AR15"/>
    <mergeCell ref="AQ16:AQ20"/>
    <mergeCell ref="AQ26:AV26"/>
    <mergeCell ref="AQ27:AR27"/>
    <mergeCell ref="AQ28:AQ31"/>
    <mergeCell ref="AQ1:AV1"/>
    <mergeCell ref="BE37:BJ37"/>
    <mergeCell ref="BE38:BF38"/>
    <mergeCell ref="BE39:BE50"/>
    <mergeCell ref="BL1:BQ1"/>
    <mergeCell ref="BL2:BQ2"/>
    <mergeCell ref="BL3:BM3"/>
    <mergeCell ref="BL4:BL8"/>
    <mergeCell ref="BL14:BQ14"/>
    <mergeCell ref="BL15:BM15"/>
    <mergeCell ref="BL16:BL20"/>
    <mergeCell ref="BL26:BQ26"/>
    <mergeCell ref="BL27:BM27"/>
    <mergeCell ref="BL28:BL31"/>
    <mergeCell ref="BL37:BQ37"/>
    <mergeCell ref="BL38:BM38"/>
    <mergeCell ref="BL39:BL50"/>
    <mergeCell ref="BE15:BF15"/>
    <mergeCell ref="BE16:BE20"/>
    <mergeCell ref="BE26:BJ26"/>
    <mergeCell ref="BE27:BF27"/>
    <mergeCell ref="BE28:BE31"/>
    <mergeCell ref="BE1:BJ1"/>
    <mergeCell ref="BE2:BJ2"/>
    <mergeCell ref="BE3:BF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F63030-4E34-5B41-B3B1-33DB3688F3F5}">
  <dimension ref="A1:J113"/>
  <sheetViews>
    <sheetView zoomScale="120" zoomScaleNormal="120" workbookViewId="0">
      <selection activeCell="K6" sqref="K6"/>
    </sheetView>
  </sheetViews>
  <sheetFormatPr baseColWidth="10" defaultColWidth="8.83203125" defaultRowHeight="15" x14ac:dyDescent="0.2"/>
  <cols>
    <col min="1" max="3" width="17.1640625" bestFit="1" customWidth="1"/>
    <col min="4" max="4" width="19" bestFit="1" customWidth="1"/>
    <col min="5" max="5" width="17.1640625" bestFit="1" customWidth="1"/>
    <col min="6" max="10" width="16.6640625" bestFit="1" customWidth="1"/>
  </cols>
  <sheetData>
    <row r="1" spans="1:10" x14ac:dyDescent="0.2">
      <c r="A1" s="19" t="s">
        <v>0</v>
      </c>
      <c r="B1" s="22" t="s">
        <v>1</v>
      </c>
      <c r="D1" s="31" t="s">
        <v>2</v>
      </c>
    </row>
    <row r="2" spans="1:10" x14ac:dyDescent="0.2">
      <c r="A2" s="7" t="s">
        <v>86</v>
      </c>
      <c r="B2" s="23">
        <v>1</v>
      </c>
      <c r="D2" s="101" t="s">
        <v>4</v>
      </c>
      <c r="E2" s="101"/>
      <c r="F2" s="101"/>
      <c r="G2" s="101"/>
      <c r="H2" s="101"/>
      <c r="I2" s="101"/>
    </row>
    <row r="3" spans="1:10" x14ac:dyDescent="0.2">
      <c r="A3" s="7" t="s">
        <v>87</v>
      </c>
      <c r="B3" s="23">
        <v>2</v>
      </c>
      <c r="D3" s="101" t="s">
        <v>6</v>
      </c>
      <c r="E3" s="101"/>
      <c r="F3" s="101"/>
      <c r="G3" s="101"/>
      <c r="H3" s="101"/>
      <c r="I3" s="101"/>
    </row>
    <row r="4" spans="1:10" x14ac:dyDescent="0.2">
      <c r="A4" s="7" t="s">
        <v>88</v>
      </c>
      <c r="B4" s="23">
        <v>3</v>
      </c>
      <c r="D4" s="100" t="s">
        <v>8</v>
      </c>
      <c r="E4" s="100"/>
      <c r="F4" s="100"/>
      <c r="G4" s="100"/>
      <c r="H4" s="100"/>
      <c r="I4" s="100"/>
    </row>
    <row r="5" spans="1:10" x14ac:dyDescent="0.2">
      <c r="A5" s="7" t="s">
        <v>89</v>
      </c>
      <c r="B5" s="23">
        <v>4</v>
      </c>
    </row>
    <row r="6" spans="1:10" x14ac:dyDescent="0.2">
      <c r="A6" s="7" t="s">
        <v>90</v>
      </c>
      <c r="B6" s="23">
        <v>5</v>
      </c>
    </row>
    <row r="7" spans="1:10" x14ac:dyDescent="0.2">
      <c r="A7" s="7" t="s">
        <v>91</v>
      </c>
      <c r="B7" s="23">
        <v>6</v>
      </c>
    </row>
    <row r="8" spans="1:10" x14ac:dyDescent="0.2">
      <c r="A8" s="7" t="s">
        <v>92</v>
      </c>
      <c r="B8" s="23">
        <v>7</v>
      </c>
    </row>
    <row r="12" spans="1:10" x14ac:dyDescent="0.2">
      <c r="A12" s="1" t="s">
        <v>93</v>
      </c>
      <c r="B12" s="1" t="s">
        <v>94</v>
      </c>
      <c r="C12" s="1" t="s">
        <v>95</v>
      </c>
      <c r="D12" s="1" t="s">
        <v>96</v>
      </c>
      <c r="E12" s="1" t="s">
        <v>97</v>
      </c>
      <c r="F12" s="1" t="s">
        <v>98</v>
      </c>
      <c r="G12" s="1" t="s">
        <v>131</v>
      </c>
      <c r="H12" s="1" t="s">
        <v>132</v>
      </c>
      <c r="I12" s="1" t="s">
        <v>133</v>
      </c>
      <c r="J12" s="1" t="s">
        <v>133</v>
      </c>
    </row>
    <row r="13" spans="1:10" x14ac:dyDescent="0.2">
      <c r="A13" s="25" t="s">
        <v>22</v>
      </c>
      <c r="B13" s="25" t="s">
        <v>22</v>
      </c>
      <c r="C13" s="25" t="s">
        <v>22</v>
      </c>
      <c r="D13" s="25" t="s">
        <v>22</v>
      </c>
      <c r="E13" s="25" t="s">
        <v>22</v>
      </c>
      <c r="F13" s="25" t="s">
        <v>22</v>
      </c>
      <c r="G13" s="25" t="s">
        <v>22</v>
      </c>
      <c r="H13" s="25" t="s">
        <v>22</v>
      </c>
      <c r="I13" s="25" t="s">
        <v>22</v>
      </c>
      <c r="J13" s="25" t="s">
        <v>22</v>
      </c>
    </row>
    <row r="14" spans="1:10" x14ac:dyDescent="0.2">
      <c r="A14" s="25" t="s">
        <v>22</v>
      </c>
      <c r="B14" s="25" t="s">
        <v>22</v>
      </c>
      <c r="C14" s="25" t="s">
        <v>22</v>
      </c>
      <c r="D14" s="25" t="s">
        <v>22</v>
      </c>
      <c r="E14" s="25" t="s">
        <v>22</v>
      </c>
      <c r="F14" s="25" t="s">
        <v>22</v>
      </c>
      <c r="G14" s="25" t="s">
        <v>22</v>
      </c>
      <c r="H14" s="25" t="s">
        <v>22</v>
      </c>
      <c r="I14" s="25" t="s">
        <v>22</v>
      </c>
      <c r="J14" s="25" t="s">
        <v>22</v>
      </c>
    </row>
    <row r="15" spans="1:10" x14ac:dyDescent="0.2">
      <c r="A15" s="25" t="s">
        <v>22</v>
      </c>
      <c r="B15" s="25" t="s">
        <v>22</v>
      </c>
      <c r="C15" s="25" t="s">
        <v>22</v>
      </c>
      <c r="D15" s="25" t="s">
        <v>22</v>
      </c>
      <c r="E15" s="25" t="s">
        <v>22</v>
      </c>
      <c r="F15" s="25" t="s">
        <v>22</v>
      </c>
      <c r="G15" s="25" t="s">
        <v>22</v>
      </c>
      <c r="H15" s="25" t="s">
        <v>22</v>
      </c>
      <c r="I15" s="25" t="s">
        <v>22</v>
      </c>
      <c r="J15" s="25" t="s">
        <v>22</v>
      </c>
    </row>
    <row r="16" spans="1:10" x14ac:dyDescent="0.2">
      <c r="A16" s="25" t="s">
        <v>22</v>
      </c>
      <c r="B16" s="25" t="s">
        <v>22</v>
      </c>
      <c r="C16" s="25" t="s">
        <v>22</v>
      </c>
      <c r="D16" s="25" t="s">
        <v>22</v>
      </c>
      <c r="E16" s="25" t="s">
        <v>22</v>
      </c>
      <c r="F16" s="25" t="s">
        <v>22</v>
      </c>
      <c r="G16" s="25" t="s">
        <v>22</v>
      </c>
      <c r="H16" s="25" t="s">
        <v>22</v>
      </c>
      <c r="I16" s="25" t="s">
        <v>22</v>
      </c>
      <c r="J16" s="25" t="s">
        <v>22</v>
      </c>
    </row>
    <row r="17" spans="1:10" x14ac:dyDescent="0.2">
      <c r="A17" s="25" t="s">
        <v>22</v>
      </c>
      <c r="B17" s="25" t="s">
        <v>22</v>
      </c>
      <c r="C17" s="25" t="s">
        <v>22</v>
      </c>
      <c r="D17" s="25" t="s">
        <v>22</v>
      </c>
      <c r="E17" s="25" t="s">
        <v>22</v>
      </c>
      <c r="F17" s="25" t="s">
        <v>22</v>
      </c>
      <c r="G17" s="25" t="s">
        <v>22</v>
      </c>
      <c r="H17" s="25" t="s">
        <v>22</v>
      </c>
      <c r="I17" s="25" t="s">
        <v>22</v>
      </c>
      <c r="J17" s="25" t="s">
        <v>22</v>
      </c>
    </row>
    <row r="18" spans="1:10" x14ac:dyDescent="0.2">
      <c r="A18" s="25" t="s">
        <v>22</v>
      </c>
      <c r="B18" s="25" t="s">
        <v>22</v>
      </c>
      <c r="C18" s="25" t="s">
        <v>22</v>
      </c>
      <c r="D18" s="25" t="s">
        <v>22</v>
      </c>
      <c r="E18" s="25" t="s">
        <v>22</v>
      </c>
      <c r="F18" s="25" t="s">
        <v>22</v>
      </c>
      <c r="G18" s="25" t="s">
        <v>22</v>
      </c>
      <c r="H18" s="25" t="s">
        <v>22</v>
      </c>
      <c r="I18" s="25" t="s">
        <v>22</v>
      </c>
      <c r="J18" s="25" t="s">
        <v>22</v>
      </c>
    </row>
    <row r="19" spans="1:10" x14ac:dyDescent="0.2">
      <c r="A19" s="25" t="s">
        <v>22</v>
      </c>
      <c r="B19" s="25" t="s">
        <v>22</v>
      </c>
      <c r="C19" s="25" t="s">
        <v>22</v>
      </c>
      <c r="D19" s="25" t="s">
        <v>22</v>
      </c>
      <c r="E19" s="25" t="s">
        <v>22</v>
      </c>
      <c r="F19" s="25" t="s">
        <v>22</v>
      </c>
      <c r="G19" s="25" t="s">
        <v>22</v>
      </c>
      <c r="H19" s="25" t="s">
        <v>22</v>
      </c>
      <c r="I19" s="25" t="s">
        <v>22</v>
      </c>
      <c r="J19" s="25" t="s">
        <v>22</v>
      </c>
    </row>
    <row r="20" spans="1:10" x14ac:dyDescent="0.2">
      <c r="A20" s="25" t="s">
        <v>22</v>
      </c>
      <c r="B20" s="25" t="s">
        <v>22</v>
      </c>
      <c r="C20" s="25" t="s">
        <v>22</v>
      </c>
      <c r="D20" s="25" t="s">
        <v>22</v>
      </c>
      <c r="E20" s="25" t="s">
        <v>22</v>
      </c>
      <c r="F20" s="25" t="s">
        <v>22</v>
      </c>
      <c r="G20" s="25" t="s">
        <v>22</v>
      </c>
      <c r="H20" s="25" t="s">
        <v>22</v>
      </c>
      <c r="I20" s="25" t="s">
        <v>22</v>
      </c>
      <c r="J20" s="25" t="s">
        <v>22</v>
      </c>
    </row>
    <row r="21" spans="1:10" x14ac:dyDescent="0.2">
      <c r="A21" s="25" t="s">
        <v>22</v>
      </c>
      <c r="B21" s="25" t="s">
        <v>22</v>
      </c>
      <c r="C21" s="25" t="s">
        <v>22</v>
      </c>
      <c r="D21" s="25" t="s">
        <v>22</v>
      </c>
      <c r="E21" s="25" t="s">
        <v>22</v>
      </c>
      <c r="F21" s="25" t="s">
        <v>22</v>
      </c>
      <c r="G21" s="25" t="s">
        <v>22</v>
      </c>
      <c r="H21" s="25" t="s">
        <v>22</v>
      </c>
      <c r="I21" s="25" t="s">
        <v>22</v>
      </c>
      <c r="J21" s="25" t="s">
        <v>22</v>
      </c>
    </row>
    <row r="22" spans="1:10" x14ac:dyDescent="0.2">
      <c r="A22" s="25" t="s">
        <v>22</v>
      </c>
      <c r="B22" s="25" t="s">
        <v>22</v>
      </c>
      <c r="C22" s="25" t="s">
        <v>22</v>
      </c>
      <c r="D22" s="25" t="s">
        <v>22</v>
      </c>
      <c r="E22" s="25" t="s">
        <v>22</v>
      </c>
      <c r="F22" s="25" t="s">
        <v>22</v>
      </c>
      <c r="G22" s="25" t="s">
        <v>22</v>
      </c>
      <c r="H22" s="25" t="s">
        <v>22</v>
      </c>
      <c r="I22" s="25" t="s">
        <v>22</v>
      </c>
      <c r="J22" s="25" t="s">
        <v>22</v>
      </c>
    </row>
    <row r="23" spans="1:10" x14ac:dyDescent="0.2">
      <c r="A23" s="25" t="s">
        <v>22</v>
      </c>
      <c r="B23" s="25" t="s">
        <v>22</v>
      </c>
      <c r="C23" s="25" t="s">
        <v>22</v>
      </c>
      <c r="D23" s="25" t="s">
        <v>22</v>
      </c>
      <c r="E23" s="25" t="s">
        <v>22</v>
      </c>
      <c r="F23" s="25" t="s">
        <v>22</v>
      </c>
      <c r="G23" s="25" t="s">
        <v>22</v>
      </c>
      <c r="H23" s="25" t="s">
        <v>22</v>
      </c>
      <c r="I23" s="25" t="s">
        <v>22</v>
      </c>
      <c r="J23" s="25" t="s">
        <v>22</v>
      </c>
    </row>
    <row r="24" spans="1:10" x14ac:dyDescent="0.2">
      <c r="A24" s="25" t="s">
        <v>22</v>
      </c>
      <c r="B24" s="25" t="s">
        <v>22</v>
      </c>
      <c r="C24" s="25" t="s">
        <v>22</v>
      </c>
      <c r="D24" s="25" t="s">
        <v>22</v>
      </c>
      <c r="E24" s="25" t="s">
        <v>22</v>
      </c>
      <c r="F24" s="25" t="s">
        <v>22</v>
      </c>
      <c r="G24" s="25" t="s">
        <v>22</v>
      </c>
      <c r="H24" s="25" t="s">
        <v>22</v>
      </c>
      <c r="I24" s="25" t="s">
        <v>22</v>
      </c>
      <c r="J24" s="25" t="s">
        <v>22</v>
      </c>
    </row>
    <row r="25" spans="1:10" x14ac:dyDescent="0.2">
      <c r="A25" s="25" t="s">
        <v>22</v>
      </c>
      <c r="B25" s="25" t="s">
        <v>22</v>
      </c>
      <c r="C25" s="25" t="s">
        <v>22</v>
      </c>
      <c r="D25" s="25" t="s">
        <v>22</v>
      </c>
      <c r="E25" s="25" t="s">
        <v>22</v>
      </c>
      <c r="F25" s="25" t="s">
        <v>22</v>
      </c>
      <c r="G25" s="25" t="s">
        <v>22</v>
      </c>
      <c r="H25" s="25" t="s">
        <v>22</v>
      </c>
      <c r="I25" s="25" t="s">
        <v>22</v>
      </c>
      <c r="J25" s="25" t="s">
        <v>22</v>
      </c>
    </row>
    <row r="26" spans="1:10" x14ac:dyDescent="0.2">
      <c r="A26" s="25" t="s">
        <v>22</v>
      </c>
      <c r="B26" s="25" t="s">
        <v>22</v>
      </c>
      <c r="C26" s="25" t="s">
        <v>22</v>
      </c>
      <c r="D26" s="25" t="s">
        <v>22</v>
      </c>
      <c r="E26" s="25" t="s">
        <v>22</v>
      </c>
      <c r="F26" s="25" t="s">
        <v>22</v>
      </c>
      <c r="G26" s="25" t="s">
        <v>22</v>
      </c>
      <c r="H26" s="25" t="s">
        <v>22</v>
      </c>
      <c r="I26" s="25" t="s">
        <v>22</v>
      </c>
      <c r="J26" s="25" t="s">
        <v>22</v>
      </c>
    </row>
    <row r="27" spans="1:10" x14ac:dyDescent="0.2">
      <c r="A27" s="25" t="s">
        <v>22</v>
      </c>
      <c r="B27" s="25" t="s">
        <v>22</v>
      </c>
      <c r="C27" s="25" t="s">
        <v>22</v>
      </c>
      <c r="D27" s="25" t="s">
        <v>22</v>
      </c>
      <c r="E27" s="25" t="s">
        <v>22</v>
      </c>
      <c r="F27" s="25" t="s">
        <v>22</v>
      </c>
      <c r="G27" s="25" t="s">
        <v>22</v>
      </c>
      <c r="H27" s="25" t="s">
        <v>22</v>
      </c>
      <c r="I27" s="25" t="s">
        <v>22</v>
      </c>
      <c r="J27" s="25" t="s">
        <v>22</v>
      </c>
    </row>
    <row r="28" spans="1:10" x14ac:dyDescent="0.2">
      <c r="A28" s="25" t="s">
        <v>22</v>
      </c>
      <c r="B28" s="25" t="s">
        <v>22</v>
      </c>
      <c r="C28" s="25" t="s">
        <v>22</v>
      </c>
      <c r="D28" s="25" t="s">
        <v>22</v>
      </c>
      <c r="E28" s="25" t="s">
        <v>22</v>
      </c>
      <c r="F28" s="25" t="s">
        <v>22</v>
      </c>
      <c r="G28" s="25" t="s">
        <v>22</v>
      </c>
      <c r="H28" s="25" t="s">
        <v>22</v>
      </c>
      <c r="I28" s="25" t="s">
        <v>22</v>
      </c>
      <c r="J28" s="25" t="s">
        <v>22</v>
      </c>
    </row>
    <row r="29" spans="1:10" x14ac:dyDescent="0.2">
      <c r="A29" s="25" t="s">
        <v>22</v>
      </c>
      <c r="B29" s="25" t="s">
        <v>22</v>
      </c>
      <c r="C29" s="25" t="s">
        <v>22</v>
      </c>
      <c r="D29" s="25" t="s">
        <v>22</v>
      </c>
      <c r="E29" s="25" t="s">
        <v>22</v>
      </c>
      <c r="F29" s="25" t="s">
        <v>22</v>
      </c>
      <c r="G29" s="25" t="s">
        <v>22</v>
      </c>
      <c r="H29" s="25" t="s">
        <v>22</v>
      </c>
      <c r="I29" s="25" t="s">
        <v>22</v>
      </c>
      <c r="J29" s="25" t="s">
        <v>22</v>
      </c>
    </row>
    <row r="30" spans="1:10" x14ac:dyDescent="0.2">
      <c r="A30" s="25" t="s">
        <v>22</v>
      </c>
      <c r="B30" s="25" t="s">
        <v>22</v>
      </c>
      <c r="C30" s="25" t="s">
        <v>22</v>
      </c>
      <c r="D30" s="25" t="s">
        <v>22</v>
      </c>
      <c r="E30" s="25" t="s">
        <v>22</v>
      </c>
      <c r="F30" s="25" t="s">
        <v>22</v>
      </c>
      <c r="G30" s="25" t="s">
        <v>22</v>
      </c>
      <c r="H30" s="25" t="s">
        <v>22</v>
      </c>
      <c r="I30" s="25" t="s">
        <v>22</v>
      </c>
      <c r="J30" s="25" t="s">
        <v>22</v>
      </c>
    </row>
    <row r="31" spans="1:10" x14ac:dyDescent="0.2">
      <c r="A31" s="25" t="s">
        <v>22</v>
      </c>
      <c r="B31" s="25" t="s">
        <v>22</v>
      </c>
      <c r="C31" s="25" t="s">
        <v>22</v>
      </c>
      <c r="D31" s="25" t="s">
        <v>22</v>
      </c>
      <c r="E31" s="25" t="s">
        <v>22</v>
      </c>
      <c r="F31" s="25" t="s">
        <v>22</v>
      </c>
      <c r="G31" s="25" t="s">
        <v>22</v>
      </c>
      <c r="H31" s="25" t="s">
        <v>22</v>
      </c>
      <c r="I31" s="25" t="s">
        <v>22</v>
      </c>
      <c r="J31" s="25" t="s">
        <v>22</v>
      </c>
    </row>
    <row r="32" spans="1:10" x14ac:dyDescent="0.2">
      <c r="A32" s="25" t="s">
        <v>22</v>
      </c>
      <c r="B32" s="25" t="s">
        <v>22</v>
      </c>
      <c r="C32" s="25" t="s">
        <v>22</v>
      </c>
      <c r="D32" s="25" t="s">
        <v>22</v>
      </c>
      <c r="E32" s="25" t="s">
        <v>22</v>
      </c>
      <c r="F32" s="25" t="s">
        <v>22</v>
      </c>
      <c r="G32" s="25" t="s">
        <v>22</v>
      </c>
      <c r="H32" s="25" t="s">
        <v>22</v>
      </c>
      <c r="I32" s="25" t="s">
        <v>22</v>
      </c>
      <c r="J32" s="25" t="s">
        <v>22</v>
      </c>
    </row>
    <row r="33" spans="1:10" x14ac:dyDescent="0.2">
      <c r="A33" s="25" t="s">
        <v>22</v>
      </c>
      <c r="B33" s="25" t="s">
        <v>22</v>
      </c>
      <c r="C33" s="25" t="s">
        <v>22</v>
      </c>
      <c r="D33" s="25" t="s">
        <v>22</v>
      </c>
      <c r="E33" s="25" t="s">
        <v>22</v>
      </c>
      <c r="F33" s="25" t="s">
        <v>22</v>
      </c>
      <c r="G33" s="25" t="s">
        <v>22</v>
      </c>
      <c r="H33" s="25" t="s">
        <v>22</v>
      </c>
      <c r="I33" s="25" t="s">
        <v>22</v>
      </c>
      <c r="J33" s="25" t="s">
        <v>22</v>
      </c>
    </row>
    <row r="34" spans="1:10" x14ac:dyDescent="0.2">
      <c r="A34" s="25" t="s">
        <v>22</v>
      </c>
      <c r="B34" s="25" t="s">
        <v>22</v>
      </c>
      <c r="C34" s="25" t="s">
        <v>22</v>
      </c>
      <c r="D34" s="25" t="s">
        <v>22</v>
      </c>
      <c r="E34" s="25" t="s">
        <v>22</v>
      </c>
      <c r="F34" s="25" t="s">
        <v>22</v>
      </c>
      <c r="G34" s="25" t="s">
        <v>22</v>
      </c>
      <c r="H34" s="25" t="s">
        <v>22</v>
      </c>
      <c r="I34" s="25" t="s">
        <v>22</v>
      </c>
      <c r="J34" s="25" t="s">
        <v>22</v>
      </c>
    </row>
    <row r="35" spans="1:10" x14ac:dyDescent="0.2">
      <c r="A35" s="25" t="s">
        <v>22</v>
      </c>
      <c r="B35" s="25" t="s">
        <v>22</v>
      </c>
      <c r="C35" s="25" t="s">
        <v>22</v>
      </c>
      <c r="D35" s="25" t="s">
        <v>22</v>
      </c>
      <c r="E35" s="25" t="s">
        <v>22</v>
      </c>
      <c r="F35" s="25" t="s">
        <v>22</v>
      </c>
      <c r="G35" s="25" t="s">
        <v>22</v>
      </c>
      <c r="H35" s="25" t="s">
        <v>22</v>
      </c>
      <c r="I35" s="25" t="s">
        <v>22</v>
      </c>
      <c r="J35" s="25" t="s">
        <v>22</v>
      </c>
    </row>
    <row r="36" spans="1:10" x14ac:dyDescent="0.2">
      <c r="A36" s="25" t="s">
        <v>22</v>
      </c>
      <c r="B36" s="25" t="s">
        <v>22</v>
      </c>
      <c r="C36" s="25" t="s">
        <v>22</v>
      </c>
      <c r="D36" s="25" t="s">
        <v>22</v>
      </c>
      <c r="E36" s="25" t="s">
        <v>22</v>
      </c>
      <c r="F36" s="25" t="s">
        <v>22</v>
      </c>
      <c r="G36" s="25" t="s">
        <v>22</v>
      </c>
      <c r="H36" s="25" t="s">
        <v>22</v>
      </c>
      <c r="I36" s="25" t="s">
        <v>22</v>
      </c>
      <c r="J36" s="25" t="s">
        <v>22</v>
      </c>
    </row>
    <row r="37" spans="1:10" x14ac:dyDescent="0.2">
      <c r="A37" s="25" t="s">
        <v>22</v>
      </c>
      <c r="B37" s="25" t="s">
        <v>22</v>
      </c>
      <c r="C37" s="25" t="s">
        <v>22</v>
      </c>
      <c r="D37" s="25" t="s">
        <v>22</v>
      </c>
      <c r="E37" s="25" t="s">
        <v>22</v>
      </c>
      <c r="F37" s="25" t="s">
        <v>22</v>
      </c>
      <c r="G37" s="25" t="s">
        <v>22</v>
      </c>
      <c r="H37" s="25" t="s">
        <v>22</v>
      </c>
      <c r="I37" s="25" t="s">
        <v>22</v>
      </c>
      <c r="J37" s="25" t="s">
        <v>22</v>
      </c>
    </row>
    <row r="38" spans="1:10" x14ac:dyDescent="0.2">
      <c r="A38" s="25" t="s">
        <v>22</v>
      </c>
      <c r="B38" s="25" t="s">
        <v>22</v>
      </c>
      <c r="C38" s="25" t="s">
        <v>22</v>
      </c>
      <c r="D38" s="25" t="s">
        <v>22</v>
      </c>
      <c r="E38" s="25" t="s">
        <v>22</v>
      </c>
      <c r="F38" s="25" t="s">
        <v>22</v>
      </c>
      <c r="G38" s="25" t="s">
        <v>22</v>
      </c>
      <c r="H38" s="25" t="s">
        <v>22</v>
      </c>
      <c r="I38" s="25" t="s">
        <v>22</v>
      </c>
      <c r="J38" s="25" t="s">
        <v>22</v>
      </c>
    </row>
    <row r="39" spans="1:10" x14ac:dyDescent="0.2">
      <c r="A39" s="25" t="s">
        <v>22</v>
      </c>
      <c r="B39" s="25" t="s">
        <v>22</v>
      </c>
      <c r="C39" s="25" t="s">
        <v>22</v>
      </c>
      <c r="D39" s="25" t="s">
        <v>22</v>
      </c>
      <c r="E39" s="25" t="s">
        <v>22</v>
      </c>
      <c r="F39" s="25" t="s">
        <v>22</v>
      </c>
      <c r="G39" s="25" t="s">
        <v>22</v>
      </c>
      <c r="H39" s="25" t="s">
        <v>22</v>
      </c>
      <c r="I39" s="25" t="s">
        <v>22</v>
      </c>
      <c r="J39" s="25" t="s">
        <v>22</v>
      </c>
    </row>
    <row r="40" spans="1:10" x14ac:dyDescent="0.2">
      <c r="A40" s="25" t="s">
        <v>22</v>
      </c>
      <c r="B40" s="25" t="s">
        <v>22</v>
      </c>
      <c r="C40" s="25" t="s">
        <v>22</v>
      </c>
      <c r="D40" s="25" t="s">
        <v>22</v>
      </c>
      <c r="E40" s="25" t="s">
        <v>22</v>
      </c>
      <c r="F40" s="25" t="s">
        <v>22</v>
      </c>
      <c r="G40" s="25" t="s">
        <v>22</v>
      </c>
      <c r="H40" s="25" t="s">
        <v>22</v>
      </c>
      <c r="I40" s="25" t="s">
        <v>22</v>
      </c>
      <c r="J40" s="25" t="s">
        <v>22</v>
      </c>
    </row>
    <row r="41" spans="1:10" x14ac:dyDescent="0.2">
      <c r="A41" s="25" t="s">
        <v>22</v>
      </c>
      <c r="B41" s="25" t="s">
        <v>22</v>
      </c>
      <c r="C41" s="25" t="s">
        <v>22</v>
      </c>
      <c r="D41" s="25" t="s">
        <v>22</v>
      </c>
      <c r="E41" s="25" t="s">
        <v>22</v>
      </c>
      <c r="F41" s="25" t="s">
        <v>22</v>
      </c>
      <c r="G41" s="25" t="s">
        <v>22</v>
      </c>
      <c r="H41" s="25" t="s">
        <v>22</v>
      </c>
      <c r="I41" s="25" t="s">
        <v>22</v>
      </c>
      <c r="J41" s="25" t="s">
        <v>22</v>
      </c>
    </row>
    <row r="42" spans="1:10" x14ac:dyDescent="0.2">
      <c r="A42" s="25" t="s">
        <v>22</v>
      </c>
      <c r="B42" s="25" t="s">
        <v>22</v>
      </c>
      <c r="C42" s="25" t="s">
        <v>22</v>
      </c>
      <c r="D42" s="25" t="s">
        <v>22</v>
      </c>
      <c r="E42" s="25" t="s">
        <v>22</v>
      </c>
      <c r="F42" s="25" t="s">
        <v>22</v>
      </c>
      <c r="G42" s="25" t="s">
        <v>22</v>
      </c>
      <c r="H42" s="25" t="s">
        <v>22</v>
      </c>
      <c r="I42" s="25" t="s">
        <v>22</v>
      </c>
      <c r="J42" s="25" t="s">
        <v>22</v>
      </c>
    </row>
    <row r="43" spans="1:10" x14ac:dyDescent="0.2">
      <c r="A43" s="25" t="s">
        <v>22</v>
      </c>
      <c r="B43" s="25" t="s">
        <v>22</v>
      </c>
      <c r="C43" s="25" t="s">
        <v>22</v>
      </c>
      <c r="D43" s="25" t="s">
        <v>22</v>
      </c>
      <c r="E43" s="25" t="s">
        <v>22</v>
      </c>
      <c r="F43" s="25" t="s">
        <v>22</v>
      </c>
      <c r="G43" s="25" t="s">
        <v>22</v>
      </c>
      <c r="H43" s="25" t="s">
        <v>22</v>
      </c>
      <c r="I43" s="25" t="s">
        <v>22</v>
      </c>
      <c r="J43" s="25" t="s">
        <v>22</v>
      </c>
    </row>
    <row r="44" spans="1:10" x14ac:dyDescent="0.2">
      <c r="A44" s="25" t="s">
        <v>22</v>
      </c>
      <c r="B44" s="25" t="s">
        <v>22</v>
      </c>
      <c r="C44" s="25" t="s">
        <v>22</v>
      </c>
      <c r="D44" s="25" t="s">
        <v>22</v>
      </c>
      <c r="E44" s="25" t="s">
        <v>22</v>
      </c>
      <c r="F44" s="25" t="s">
        <v>22</v>
      </c>
      <c r="G44" s="25" t="s">
        <v>22</v>
      </c>
      <c r="H44" s="25" t="s">
        <v>22</v>
      </c>
      <c r="I44" s="25" t="s">
        <v>22</v>
      </c>
      <c r="J44" s="25" t="s">
        <v>22</v>
      </c>
    </row>
    <row r="45" spans="1:10" x14ac:dyDescent="0.2">
      <c r="A45" s="25" t="s">
        <v>22</v>
      </c>
      <c r="B45" s="25" t="s">
        <v>22</v>
      </c>
      <c r="C45" s="25" t="s">
        <v>22</v>
      </c>
      <c r="D45" s="25" t="s">
        <v>22</v>
      </c>
      <c r="E45" s="25" t="s">
        <v>22</v>
      </c>
      <c r="F45" s="25" t="s">
        <v>22</v>
      </c>
      <c r="G45" s="25" t="s">
        <v>22</v>
      </c>
      <c r="H45" s="25" t="s">
        <v>22</v>
      </c>
      <c r="I45" s="25" t="s">
        <v>22</v>
      </c>
      <c r="J45" s="25" t="s">
        <v>22</v>
      </c>
    </row>
    <row r="46" spans="1:10" x14ac:dyDescent="0.2">
      <c r="A46" s="25" t="s">
        <v>22</v>
      </c>
      <c r="B46" s="25" t="s">
        <v>22</v>
      </c>
      <c r="C46" s="25" t="s">
        <v>22</v>
      </c>
      <c r="D46" s="25" t="s">
        <v>22</v>
      </c>
      <c r="E46" s="25" t="s">
        <v>22</v>
      </c>
      <c r="F46" s="25" t="s">
        <v>22</v>
      </c>
      <c r="G46" s="25" t="s">
        <v>22</v>
      </c>
      <c r="H46" s="25" t="s">
        <v>22</v>
      </c>
      <c r="I46" s="25" t="s">
        <v>22</v>
      </c>
      <c r="J46" s="25" t="s">
        <v>22</v>
      </c>
    </row>
    <row r="47" spans="1:10" x14ac:dyDescent="0.2">
      <c r="A47" s="25" t="s">
        <v>22</v>
      </c>
      <c r="B47" s="25" t="s">
        <v>22</v>
      </c>
      <c r="C47" s="25" t="s">
        <v>22</v>
      </c>
      <c r="D47" s="25" t="s">
        <v>22</v>
      </c>
      <c r="E47" s="25" t="s">
        <v>22</v>
      </c>
      <c r="F47" s="25" t="s">
        <v>22</v>
      </c>
      <c r="G47" s="25" t="s">
        <v>22</v>
      </c>
      <c r="H47" s="25" t="s">
        <v>22</v>
      </c>
      <c r="I47" s="25" t="s">
        <v>22</v>
      </c>
      <c r="J47" s="25" t="s">
        <v>22</v>
      </c>
    </row>
    <row r="48" spans="1:10" x14ac:dyDescent="0.2">
      <c r="A48" s="25" t="s">
        <v>22</v>
      </c>
      <c r="B48" s="25" t="s">
        <v>22</v>
      </c>
      <c r="C48" s="25" t="s">
        <v>22</v>
      </c>
      <c r="D48" s="25" t="s">
        <v>22</v>
      </c>
      <c r="E48" s="25" t="s">
        <v>22</v>
      </c>
      <c r="F48" s="25" t="s">
        <v>22</v>
      </c>
      <c r="G48" s="25" t="s">
        <v>22</v>
      </c>
      <c r="H48" s="25" t="s">
        <v>22</v>
      </c>
      <c r="I48" s="25" t="s">
        <v>22</v>
      </c>
      <c r="J48" s="25" t="s">
        <v>22</v>
      </c>
    </row>
    <row r="49" spans="1:10" x14ac:dyDescent="0.2">
      <c r="A49" s="25" t="s">
        <v>22</v>
      </c>
      <c r="B49" s="25" t="s">
        <v>22</v>
      </c>
      <c r="C49" s="25" t="s">
        <v>22</v>
      </c>
      <c r="D49" s="25" t="s">
        <v>22</v>
      </c>
      <c r="E49" s="25" t="s">
        <v>22</v>
      </c>
      <c r="F49" s="25" t="s">
        <v>22</v>
      </c>
      <c r="G49" s="25" t="s">
        <v>22</v>
      </c>
      <c r="H49" s="25" t="s">
        <v>22</v>
      </c>
      <c r="I49" s="25" t="s">
        <v>22</v>
      </c>
      <c r="J49" s="25" t="s">
        <v>22</v>
      </c>
    </row>
    <row r="50" spans="1:10" x14ac:dyDescent="0.2">
      <c r="A50" s="25" t="s">
        <v>22</v>
      </c>
      <c r="B50" s="25" t="s">
        <v>22</v>
      </c>
      <c r="C50" s="25" t="s">
        <v>22</v>
      </c>
      <c r="D50" s="25" t="s">
        <v>22</v>
      </c>
      <c r="E50" s="25" t="s">
        <v>22</v>
      </c>
      <c r="F50" s="25" t="s">
        <v>22</v>
      </c>
      <c r="G50" s="25" t="s">
        <v>22</v>
      </c>
      <c r="H50" s="25" t="s">
        <v>22</v>
      </c>
      <c r="I50" s="25" t="s">
        <v>22</v>
      </c>
      <c r="J50" s="25" t="s">
        <v>22</v>
      </c>
    </row>
    <row r="51" spans="1:10" x14ac:dyDescent="0.2">
      <c r="A51" s="25" t="s">
        <v>22</v>
      </c>
      <c r="B51" s="25" t="s">
        <v>22</v>
      </c>
      <c r="C51" s="25" t="s">
        <v>22</v>
      </c>
      <c r="D51" s="25" t="s">
        <v>22</v>
      </c>
      <c r="E51" s="25" t="s">
        <v>22</v>
      </c>
      <c r="F51" s="25" t="s">
        <v>22</v>
      </c>
      <c r="G51" s="25" t="s">
        <v>22</v>
      </c>
      <c r="H51" s="25" t="s">
        <v>22</v>
      </c>
      <c r="I51" s="25" t="s">
        <v>22</v>
      </c>
      <c r="J51" s="25" t="s">
        <v>22</v>
      </c>
    </row>
    <row r="52" spans="1:10" x14ac:dyDescent="0.2">
      <c r="A52" s="25" t="s">
        <v>22</v>
      </c>
      <c r="B52" s="25" t="s">
        <v>22</v>
      </c>
      <c r="C52" s="25" t="s">
        <v>22</v>
      </c>
      <c r="D52" s="25" t="s">
        <v>22</v>
      </c>
      <c r="E52" s="25" t="s">
        <v>22</v>
      </c>
      <c r="F52" s="25" t="s">
        <v>22</v>
      </c>
      <c r="G52" s="25" t="s">
        <v>22</v>
      </c>
      <c r="H52" s="25" t="s">
        <v>22</v>
      </c>
      <c r="I52" s="25" t="s">
        <v>22</v>
      </c>
      <c r="J52" s="25" t="s">
        <v>22</v>
      </c>
    </row>
    <row r="53" spans="1:10" x14ac:dyDescent="0.2">
      <c r="A53" s="25" t="s">
        <v>22</v>
      </c>
      <c r="B53" s="25" t="s">
        <v>22</v>
      </c>
      <c r="C53" s="25" t="s">
        <v>22</v>
      </c>
      <c r="D53" s="25" t="s">
        <v>22</v>
      </c>
      <c r="E53" s="25" t="s">
        <v>22</v>
      </c>
      <c r="F53" s="25" t="s">
        <v>22</v>
      </c>
      <c r="G53" s="25" t="s">
        <v>22</v>
      </c>
      <c r="H53" s="25" t="s">
        <v>22</v>
      </c>
      <c r="I53" s="25" t="s">
        <v>22</v>
      </c>
      <c r="J53" s="25" t="s">
        <v>22</v>
      </c>
    </row>
    <row r="54" spans="1:10" x14ac:dyDescent="0.2">
      <c r="A54" s="25" t="s">
        <v>22</v>
      </c>
      <c r="B54" s="25" t="s">
        <v>22</v>
      </c>
      <c r="C54" s="25" t="s">
        <v>22</v>
      </c>
      <c r="D54" s="25" t="s">
        <v>22</v>
      </c>
      <c r="E54" s="25" t="s">
        <v>22</v>
      </c>
      <c r="F54" s="25" t="s">
        <v>22</v>
      </c>
      <c r="G54" s="25" t="s">
        <v>22</v>
      </c>
      <c r="H54" s="25" t="s">
        <v>22</v>
      </c>
      <c r="I54" s="25" t="s">
        <v>22</v>
      </c>
      <c r="J54" s="25" t="s">
        <v>22</v>
      </c>
    </row>
    <row r="55" spans="1:10" x14ac:dyDescent="0.2">
      <c r="A55" s="25" t="s">
        <v>22</v>
      </c>
      <c r="B55" s="25" t="s">
        <v>22</v>
      </c>
      <c r="C55" s="25" t="s">
        <v>22</v>
      </c>
      <c r="D55" s="25" t="s">
        <v>22</v>
      </c>
      <c r="E55" s="25" t="s">
        <v>22</v>
      </c>
      <c r="F55" s="25" t="s">
        <v>22</v>
      </c>
      <c r="G55" s="25" t="s">
        <v>22</v>
      </c>
      <c r="H55" s="25" t="s">
        <v>22</v>
      </c>
      <c r="I55" s="25" t="s">
        <v>22</v>
      </c>
      <c r="J55" s="25" t="s">
        <v>22</v>
      </c>
    </row>
    <row r="56" spans="1:10" x14ac:dyDescent="0.2">
      <c r="A56" s="25" t="s">
        <v>22</v>
      </c>
      <c r="B56" s="25" t="s">
        <v>22</v>
      </c>
      <c r="C56" s="25" t="s">
        <v>22</v>
      </c>
      <c r="D56" s="25" t="s">
        <v>22</v>
      </c>
      <c r="E56" s="25" t="s">
        <v>22</v>
      </c>
      <c r="F56" s="25" t="s">
        <v>22</v>
      </c>
      <c r="G56" s="25" t="s">
        <v>22</v>
      </c>
      <c r="H56" s="25" t="s">
        <v>22</v>
      </c>
      <c r="I56" s="25" t="s">
        <v>22</v>
      </c>
      <c r="J56" s="25" t="s">
        <v>22</v>
      </c>
    </row>
    <row r="57" spans="1:10" x14ac:dyDescent="0.2">
      <c r="A57" s="25" t="s">
        <v>22</v>
      </c>
      <c r="B57" s="25" t="s">
        <v>22</v>
      </c>
      <c r="C57" s="25" t="s">
        <v>22</v>
      </c>
      <c r="D57" s="25" t="s">
        <v>22</v>
      </c>
      <c r="E57" s="25" t="s">
        <v>22</v>
      </c>
      <c r="F57" s="25" t="s">
        <v>22</v>
      </c>
      <c r="G57" s="25" t="s">
        <v>22</v>
      </c>
      <c r="H57" s="25" t="s">
        <v>22</v>
      </c>
      <c r="I57" s="25" t="s">
        <v>22</v>
      </c>
      <c r="J57" s="25" t="s">
        <v>22</v>
      </c>
    </row>
    <row r="58" spans="1:10" x14ac:dyDescent="0.2">
      <c r="A58" s="25" t="s">
        <v>22</v>
      </c>
      <c r="B58" s="25" t="s">
        <v>22</v>
      </c>
      <c r="C58" s="25" t="s">
        <v>22</v>
      </c>
      <c r="D58" s="25" t="s">
        <v>22</v>
      </c>
      <c r="E58" s="25" t="s">
        <v>22</v>
      </c>
      <c r="F58" s="25" t="s">
        <v>22</v>
      </c>
      <c r="G58" s="25" t="s">
        <v>22</v>
      </c>
      <c r="H58" s="25" t="s">
        <v>22</v>
      </c>
      <c r="I58" s="25" t="s">
        <v>22</v>
      </c>
      <c r="J58" s="25" t="s">
        <v>22</v>
      </c>
    </row>
    <row r="59" spans="1:10" x14ac:dyDescent="0.2">
      <c r="A59" s="25" t="s">
        <v>22</v>
      </c>
      <c r="B59" s="25" t="s">
        <v>22</v>
      </c>
      <c r="C59" s="25" t="s">
        <v>22</v>
      </c>
      <c r="D59" s="25" t="s">
        <v>22</v>
      </c>
      <c r="E59" s="25" t="s">
        <v>22</v>
      </c>
      <c r="F59" s="25" t="s">
        <v>22</v>
      </c>
      <c r="G59" s="25" t="s">
        <v>22</v>
      </c>
      <c r="H59" s="25" t="s">
        <v>22</v>
      </c>
      <c r="I59" s="25" t="s">
        <v>22</v>
      </c>
      <c r="J59" s="25" t="s">
        <v>22</v>
      </c>
    </row>
    <row r="60" spans="1:10" x14ac:dyDescent="0.2">
      <c r="A60" s="25" t="s">
        <v>22</v>
      </c>
      <c r="B60" s="25" t="s">
        <v>22</v>
      </c>
      <c r="C60" s="25" t="s">
        <v>22</v>
      </c>
      <c r="D60" s="25" t="s">
        <v>22</v>
      </c>
      <c r="E60" s="25" t="s">
        <v>22</v>
      </c>
      <c r="F60" s="25" t="s">
        <v>22</v>
      </c>
      <c r="G60" s="25" t="s">
        <v>22</v>
      </c>
      <c r="H60" s="25" t="s">
        <v>22</v>
      </c>
      <c r="I60" s="25" t="s">
        <v>22</v>
      </c>
      <c r="J60" s="25" t="s">
        <v>22</v>
      </c>
    </row>
    <row r="61" spans="1:10" x14ac:dyDescent="0.2">
      <c r="A61" s="25" t="s">
        <v>22</v>
      </c>
      <c r="B61" s="25" t="s">
        <v>22</v>
      </c>
      <c r="C61" s="25" t="s">
        <v>22</v>
      </c>
      <c r="D61" s="25" t="s">
        <v>22</v>
      </c>
      <c r="E61" s="25" t="s">
        <v>22</v>
      </c>
      <c r="F61" s="25" t="s">
        <v>22</v>
      </c>
      <c r="G61" s="25" t="s">
        <v>22</v>
      </c>
      <c r="H61" s="25" t="s">
        <v>22</v>
      </c>
      <c r="I61" s="25" t="s">
        <v>22</v>
      </c>
      <c r="J61" s="25" t="s">
        <v>22</v>
      </c>
    </row>
    <row r="62" spans="1:10" x14ac:dyDescent="0.2">
      <c r="A62" s="25" t="s">
        <v>22</v>
      </c>
      <c r="B62" s="25" t="s">
        <v>22</v>
      </c>
      <c r="C62" s="25" t="s">
        <v>22</v>
      </c>
      <c r="D62" s="25" t="s">
        <v>22</v>
      </c>
      <c r="E62" s="25" t="s">
        <v>22</v>
      </c>
      <c r="F62" s="25" t="s">
        <v>22</v>
      </c>
      <c r="G62" s="25" t="s">
        <v>22</v>
      </c>
      <c r="H62" s="25" t="s">
        <v>22</v>
      </c>
      <c r="I62" s="25" t="s">
        <v>22</v>
      </c>
      <c r="J62" s="25" t="s">
        <v>22</v>
      </c>
    </row>
    <row r="63" spans="1:10" x14ac:dyDescent="0.2">
      <c r="A63" s="25" t="s">
        <v>22</v>
      </c>
      <c r="B63" s="25" t="s">
        <v>22</v>
      </c>
      <c r="C63" s="25" t="s">
        <v>22</v>
      </c>
      <c r="D63" s="25" t="s">
        <v>22</v>
      </c>
      <c r="E63" s="25" t="s">
        <v>22</v>
      </c>
      <c r="F63" s="25" t="s">
        <v>22</v>
      </c>
      <c r="G63" s="25" t="s">
        <v>22</v>
      </c>
      <c r="H63" s="25" t="s">
        <v>22</v>
      </c>
      <c r="I63" s="25" t="s">
        <v>22</v>
      </c>
      <c r="J63" s="25" t="s">
        <v>22</v>
      </c>
    </row>
    <row r="64" spans="1:10" x14ac:dyDescent="0.2">
      <c r="A64" s="25" t="s">
        <v>22</v>
      </c>
      <c r="B64" s="25" t="s">
        <v>22</v>
      </c>
      <c r="C64" s="25" t="s">
        <v>22</v>
      </c>
      <c r="D64" s="25" t="s">
        <v>22</v>
      </c>
      <c r="E64" s="25" t="s">
        <v>22</v>
      </c>
      <c r="F64" s="25" t="s">
        <v>22</v>
      </c>
      <c r="G64" s="25" t="s">
        <v>22</v>
      </c>
      <c r="H64" s="25" t="s">
        <v>22</v>
      </c>
      <c r="I64" s="25" t="s">
        <v>22</v>
      </c>
      <c r="J64" s="25" t="s">
        <v>22</v>
      </c>
    </row>
    <row r="65" spans="1:10" x14ac:dyDescent="0.2">
      <c r="A65" s="25" t="s">
        <v>22</v>
      </c>
      <c r="B65" s="25" t="s">
        <v>22</v>
      </c>
      <c r="C65" s="25" t="s">
        <v>22</v>
      </c>
      <c r="D65" s="25" t="s">
        <v>22</v>
      </c>
      <c r="E65" s="25" t="s">
        <v>22</v>
      </c>
      <c r="F65" s="25" t="s">
        <v>22</v>
      </c>
      <c r="G65" s="25" t="s">
        <v>22</v>
      </c>
      <c r="H65" s="25" t="s">
        <v>22</v>
      </c>
      <c r="I65" s="25" t="s">
        <v>22</v>
      </c>
      <c r="J65" s="25" t="s">
        <v>22</v>
      </c>
    </row>
    <row r="66" spans="1:10" x14ac:dyDescent="0.2">
      <c r="A66" s="25" t="s">
        <v>22</v>
      </c>
      <c r="B66" s="25" t="s">
        <v>22</v>
      </c>
      <c r="C66" s="25" t="s">
        <v>22</v>
      </c>
      <c r="D66" s="25" t="s">
        <v>22</v>
      </c>
      <c r="E66" s="25" t="s">
        <v>22</v>
      </c>
      <c r="F66" s="25" t="s">
        <v>22</v>
      </c>
      <c r="G66" s="25" t="s">
        <v>22</v>
      </c>
      <c r="H66" s="25" t="s">
        <v>22</v>
      </c>
      <c r="I66" s="25" t="s">
        <v>22</v>
      </c>
      <c r="J66" s="25" t="s">
        <v>22</v>
      </c>
    </row>
    <row r="67" spans="1:10" x14ac:dyDescent="0.2">
      <c r="A67" s="25" t="s">
        <v>22</v>
      </c>
      <c r="B67" s="25" t="s">
        <v>22</v>
      </c>
      <c r="C67" s="25" t="s">
        <v>22</v>
      </c>
      <c r="D67" s="25" t="s">
        <v>22</v>
      </c>
      <c r="E67" s="25" t="s">
        <v>22</v>
      </c>
      <c r="F67" s="25" t="s">
        <v>22</v>
      </c>
      <c r="G67" s="25" t="s">
        <v>22</v>
      </c>
      <c r="H67" s="25" t="s">
        <v>22</v>
      </c>
      <c r="I67" s="25" t="s">
        <v>22</v>
      </c>
      <c r="J67" s="25" t="s">
        <v>22</v>
      </c>
    </row>
    <row r="68" spans="1:10" x14ac:dyDescent="0.2">
      <c r="A68" s="25" t="s">
        <v>22</v>
      </c>
      <c r="B68" s="25" t="s">
        <v>22</v>
      </c>
      <c r="C68" s="25" t="s">
        <v>22</v>
      </c>
      <c r="D68" s="25" t="s">
        <v>22</v>
      </c>
      <c r="E68" s="25" t="s">
        <v>22</v>
      </c>
      <c r="F68" s="25" t="s">
        <v>22</v>
      </c>
      <c r="G68" s="25" t="s">
        <v>22</v>
      </c>
      <c r="H68" s="25" t="s">
        <v>22</v>
      </c>
      <c r="I68" s="25" t="s">
        <v>22</v>
      </c>
      <c r="J68" s="25" t="s">
        <v>22</v>
      </c>
    </row>
    <row r="69" spans="1:10" x14ac:dyDescent="0.2">
      <c r="A69" s="25" t="s">
        <v>22</v>
      </c>
      <c r="B69" s="25" t="s">
        <v>22</v>
      </c>
      <c r="C69" s="25" t="s">
        <v>22</v>
      </c>
      <c r="D69" s="25" t="s">
        <v>22</v>
      </c>
      <c r="E69" s="25" t="s">
        <v>22</v>
      </c>
      <c r="F69" s="25" t="s">
        <v>22</v>
      </c>
      <c r="G69" s="25" t="s">
        <v>22</v>
      </c>
      <c r="H69" s="25" t="s">
        <v>22</v>
      </c>
      <c r="I69" s="25" t="s">
        <v>22</v>
      </c>
      <c r="J69" s="25" t="s">
        <v>22</v>
      </c>
    </row>
    <row r="70" spans="1:10" x14ac:dyDescent="0.2">
      <c r="A70" s="25" t="s">
        <v>22</v>
      </c>
      <c r="B70" s="25" t="s">
        <v>22</v>
      </c>
      <c r="C70" s="25" t="s">
        <v>22</v>
      </c>
      <c r="D70" s="25" t="s">
        <v>22</v>
      </c>
      <c r="E70" s="25" t="s">
        <v>22</v>
      </c>
      <c r="F70" s="25" t="s">
        <v>22</v>
      </c>
      <c r="G70" s="25" t="s">
        <v>22</v>
      </c>
      <c r="H70" s="25" t="s">
        <v>22</v>
      </c>
      <c r="I70" s="25" t="s">
        <v>22</v>
      </c>
      <c r="J70" s="25" t="s">
        <v>22</v>
      </c>
    </row>
    <row r="71" spans="1:10" x14ac:dyDescent="0.2">
      <c r="A71" s="25" t="s">
        <v>22</v>
      </c>
      <c r="B71" s="25" t="s">
        <v>22</v>
      </c>
      <c r="C71" s="25" t="s">
        <v>22</v>
      </c>
      <c r="D71" s="25" t="s">
        <v>22</v>
      </c>
      <c r="E71" s="25" t="s">
        <v>22</v>
      </c>
      <c r="F71" s="25" t="s">
        <v>22</v>
      </c>
      <c r="G71" s="25" t="s">
        <v>22</v>
      </c>
      <c r="H71" s="25" t="s">
        <v>22</v>
      </c>
      <c r="I71" s="25" t="s">
        <v>22</v>
      </c>
      <c r="J71" s="25" t="s">
        <v>22</v>
      </c>
    </row>
    <row r="72" spans="1:10" x14ac:dyDescent="0.2">
      <c r="A72" s="25" t="s">
        <v>22</v>
      </c>
      <c r="B72" s="25" t="s">
        <v>22</v>
      </c>
      <c r="C72" s="25" t="s">
        <v>22</v>
      </c>
      <c r="D72" s="25" t="s">
        <v>22</v>
      </c>
      <c r="E72" s="25" t="s">
        <v>22</v>
      </c>
      <c r="F72" s="25" t="s">
        <v>22</v>
      </c>
      <c r="G72" s="25" t="s">
        <v>22</v>
      </c>
      <c r="H72" s="25" t="s">
        <v>22</v>
      </c>
      <c r="I72" s="25" t="s">
        <v>22</v>
      </c>
      <c r="J72" s="25" t="s">
        <v>22</v>
      </c>
    </row>
    <row r="73" spans="1:10" x14ac:dyDescent="0.2">
      <c r="A73" s="25" t="s">
        <v>22</v>
      </c>
      <c r="B73" s="25" t="s">
        <v>22</v>
      </c>
      <c r="C73" s="25" t="s">
        <v>22</v>
      </c>
      <c r="D73" s="25" t="s">
        <v>22</v>
      </c>
      <c r="E73" s="25" t="s">
        <v>22</v>
      </c>
      <c r="F73" s="25" t="s">
        <v>22</v>
      </c>
      <c r="G73" s="25" t="s">
        <v>22</v>
      </c>
      <c r="H73" s="25" t="s">
        <v>22</v>
      </c>
      <c r="I73" s="25" t="s">
        <v>22</v>
      </c>
      <c r="J73" s="25" t="s">
        <v>22</v>
      </c>
    </row>
    <row r="74" spans="1:10" x14ac:dyDescent="0.2">
      <c r="A74" s="25" t="s">
        <v>22</v>
      </c>
      <c r="B74" s="25" t="s">
        <v>22</v>
      </c>
      <c r="C74" s="25" t="s">
        <v>22</v>
      </c>
      <c r="D74" s="25" t="s">
        <v>22</v>
      </c>
      <c r="E74" s="25" t="s">
        <v>22</v>
      </c>
      <c r="F74" s="25" t="s">
        <v>22</v>
      </c>
      <c r="G74" s="25" t="s">
        <v>22</v>
      </c>
      <c r="H74" s="25" t="s">
        <v>22</v>
      </c>
      <c r="I74" s="25" t="s">
        <v>22</v>
      </c>
      <c r="J74" s="25" t="s">
        <v>22</v>
      </c>
    </row>
    <row r="75" spans="1:10" x14ac:dyDescent="0.2">
      <c r="A75" s="25" t="s">
        <v>22</v>
      </c>
      <c r="B75" s="25" t="s">
        <v>22</v>
      </c>
      <c r="C75" s="25" t="s">
        <v>22</v>
      </c>
      <c r="D75" s="25" t="s">
        <v>22</v>
      </c>
      <c r="E75" s="25" t="s">
        <v>22</v>
      </c>
      <c r="F75" s="25" t="s">
        <v>22</v>
      </c>
      <c r="G75" s="25" t="s">
        <v>22</v>
      </c>
      <c r="H75" s="25" t="s">
        <v>22</v>
      </c>
      <c r="I75" s="25" t="s">
        <v>22</v>
      </c>
      <c r="J75" s="25" t="s">
        <v>22</v>
      </c>
    </row>
    <row r="76" spans="1:10" x14ac:dyDescent="0.2">
      <c r="A76" s="25" t="s">
        <v>22</v>
      </c>
      <c r="B76" s="25" t="s">
        <v>22</v>
      </c>
      <c r="C76" s="25" t="s">
        <v>22</v>
      </c>
      <c r="D76" s="25" t="s">
        <v>22</v>
      </c>
      <c r="E76" s="25" t="s">
        <v>22</v>
      </c>
      <c r="F76" s="25" t="s">
        <v>22</v>
      </c>
      <c r="G76" s="25" t="s">
        <v>22</v>
      </c>
      <c r="H76" s="25" t="s">
        <v>22</v>
      </c>
      <c r="I76" s="25" t="s">
        <v>22</v>
      </c>
      <c r="J76" s="25" t="s">
        <v>22</v>
      </c>
    </row>
    <row r="77" spans="1:10" x14ac:dyDescent="0.2">
      <c r="A77" s="25" t="s">
        <v>22</v>
      </c>
      <c r="B77" s="25" t="s">
        <v>22</v>
      </c>
      <c r="C77" s="25" t="s">
        <v>22</v>
      </c>
      <c r="D77" s="25" t="s">
        <v>22</v>
      </c>
      <c r="E77" s="25" t="s">
        <v>22</v>
      </c>
      <c r="F77" s="25" t="s">
        <v>22</v>
      </c>
      <c r="G77" s="25" t="s">
        <v>22</v>
      </c>
      <c r="H77" s="25" t="s">
        <v>22</v>
      </c>
      <c r="I77" s="25" t="s">
        <v>22</v>
      </c>
      <c r="J77" s="25" t="s">
        <v>22</v>
      </c>
    </row>
    <row r="78" spans="1:10" x14ac:dyDescent="0.2">
      <c r="A78" s="25" t="s">
        <v>22</v>
      </c>
      <c r="B78" s="25" t="s">
        <v>22</v>
      </c>
      <c r="C78" s="25" t="s">
        <v>22</v>
      </c>
      <c r="D78" s="25" t="s">
        <v>22</v>
      </c>
      <c r="E78" s="25" t="s">
        <v>22</v>
      </c>
      <c r="F78" s="25" t="s">
        <v>22</v>
      </c>
      <c r="G78" s="25" t="s">
        <v>22</v>
      </c>
      <c r="H78" s="25" t="s">
        <v>22</v>
      </c>
      <c r="I78" s="25" t="s">
        <v>22</v>
      </c>
      <c r="J78" s="25" t="s">
        <v>22</v>
      </c>
    </row>
    <row r="79" spans="1:10" x14ac:dyDescent="0.2">
      <c r="A79" s="25" t="s">
        <v>22</v>
      </c>
      <c r="B79" s="25" t="s">
        <v>22</v>
      </c>
      <c r="C79" s="25" t="s">
        <v>22</v>
      </c>
      <c r="D79" s="25" t="s">
        <v>22</v>
      </c>
      <c r="E79" s="25" t="s">
        <v>22</v>
      </c>
      <c r="F79" s="25" t="s">
        <v>22</v>
      </c>
      <c r="G79" s="25" t="s">
        <v>22</v>
      </c>
      <c r="H79" s="25" t="s">
        <v>22</v>
      </c>
      <c r="I79" s="25" t="s">
        <v>22</v>
      </c>
      <c r="J79" s="25" t="s">
        <v>22</v>
      </c>
    </row>
    <row r="80" spans="1:10" x14ac:dyDescent="0.2">
      <c r="A80" s="25" t="s">
        <v>22</v>
      </c>
      <c r="B80" s="25" t="s">
        <v>22</v>
      </c>
      <c r="C80" s="25" t="s">
        <v>22</v>
      </c>
      <c r="D80" s="25" t="s">
        <v>22</v>
      </c>
      <c r="E80" s="25" t="s">
        <v>22</v>
      </c>
      <c r="F80" s="25" t="s">
        <v>22</v>
      </c>
      <c r="G80" s="25" t="s">
        <v>22</v>
      </c>
      <c r="H80" s="25" t="s">
        <v>22</v>
      </c>
      <c r="I80" s="25" t="s">
        <v>22</v>
      </c>
      <c r="J80" s="25" t="s">
        <v>22</v>
      </c>
    </row>
    <row r="81" spans="1:10" x14ac:dyDescent="0.2">
      <c r="A81" s="25" t="s">
        <v>22</v>
      </c>
      <c r="B81" s="25" t="s">
        <v>22</v>
      </c>
      <c r="C81" s="25" t="s">
        <v>22</v>
      </c>
      <c r="D81" s="25" t="s">
        <v>22</v>
      </c>
      <c r="E81" s="25" t="s">
        <v>22</v>
      </c>
      <c r="F81" s="25" t="s">
        <v>22</v>
      </c>
      <c r="G81" s="25" t="s">
        <v>22</v>
      </c>
      <c r="H81" s="25" t="s">
        <v>22</v>
      </c>
      <c r="I81" s="25" t="s">
        <v>22</v>
      </c>
      <c r="J81" s="25" t="s">
        <v>22</v>
      </c>
    </row>
    <row r="82" spans="1:10" x14ac:dyDescent="0.2">
      <c r="A82" s="25" t="s">
        <v>22</v>
      </c>
      <c r="B82" s="25" t="s">
        <v>22</v>
      </c>
      <c r="C82" s="25" t="s">
        <v>22</v>
      </c>
      <c r="D82" s="25" t="s">
        <v>22</v>
      </c>
      <c r="E82" s="25" t="s">
        <v>22</v>
      </c>
      <c r="F82" s="25" t="s">
        <v>22</v>
      </c>
      <c r="G82" s="25" t="s">
        <v>22</v>
      </c>
      <c r="H82" s="25" t="s">
        <v>22</v>
      </c>
      <c r="I82" s="25" t="s">
        <v>22</v>
      </c>
      <c r="J82" s="25" t="s">
        <v>22</v>
      </c>
    </row>
    <row r="83" spans="1:10" x14ac:dyDescent="0.2">
      <c r="A83" s="25" t="s">
        <v>22</v>
      </c>
      <c r="B83" s="25" t="s">
        <v>22</v>
      </c>
      <c r="C83" s="25" t="s">
        <v>22</v>
      </c>
      <c r="D83" s="25" t="s">
        <v>22</v>
      </c>
      <c r="E83" s="25" t="s">
        <v>22</v>
      </c>
      <c r="F83" s="25" t="s">
        <v>22</v>
      </c>
      <c r="G83" s="25" t="s">
        <v>22</v>
      </c>
      <c r="H83" s="25" t="s">
        <v>22</v>
      </c>
      <c r="I83" s="25" t="s">
        <v>22</v>
      </c>
      <c r="J83" s="25" t="s">
        <v>22</v>
      </c>
    </row>
    <row r="84" spans="1:10" x14ac:dyDescent="0.2">
      <c r="A84" s="25" t="s">
        <v>22</v>
      </c>
      <c r="B84" s="25" t="s">
        <v>22</v>
      </c>
      <c r="C84" s="25" t="s">
        <v>22</v>
      </c>
      <c r="D84" s="25" t="s">
        <v>22</v>
      </c>
      <c r="E84" s="25" t="s">
        <v>22</v>
      </c>
      <c r="F84" s="25" t="s">
        <v>22</v>
      </c>
      <c r="G84" s="25" t="s">
        <v>22</v>
      </c>
      <c r="H84" s="25" t="s">
        <v>22</v>
      </c>
      <c r="I84" s="25" t="s">
        <v>22</v>
      </c>
      <c r="J84" s="25" t="s">
        <v>22</v>
      </c>
    </row>
    <row r="85" spans="1:10" x14ac:dyDescent="0.2">
      <c r="A85" s="25" t="s">
        <v>22</v>
      </c>
      <c r="B85" s="25" t="s">
        <v>22</v>
      </c>
      <c r="C85" s="25" t="s">
        <v>22</v>
      </c>
      <c r="D85" s="25" t="s">
        <v>22</v>
      </c>
      <c r="E85" s="25" t="s">
        <v>22</v>
      </c>
      <c r="F85" s="25" t="s">
        <v>22</v>
      </c>
      <c r="G85" s="25" t="s">
        <v>22</v>
      </c>
      <c r="H85" s="25" t="s">
        <v>22</v>
      </c>
      <c r="I85" s="25" t="s">
        <v>22</v>
      </c>
      <c r="J85" s="25" t="s">
        <v>22</v>
      </c>
    </row>
    <row r="86" spans="1:10" x14ac:dyDescent="0.2">
      <c r="A86" s="25" t="s">
        <v>22</v>
      </c>
      <c r="B86" s="25" t="s">
        <v>22</v>
      </c>
      <c r="C86" s="25" t="s">
        <v>22</v>
      </c>
      <c r="D86" s="25" t="s">
        <v>22</v>
      </c>
      <c r="E86" s="25" t="s">
        <v>22</v>
      </c>
      <c r="F86" s="25" t="s">
        <v>22</v>
      </c>
      <c r="G86" s="25" t="s">
        <v>22</v>
      </c>
      <c r="H86" s="25" t="s">
        <v>22</v>
      </c>
      <c r="I86" s="25" t="s">
        <v>22</v>
      </c>
      <c r="J86" s="25" t="s">
        <v>22</v>
      </c>
    </row>
    <row r="87" spans="1:10" x14ac:dyDescent="0.2">
      <c r="A87" s="25" t="s">
        <v>22</v>
      </c>
      <c r="B87" s="25" t="s">
        <v>22</v>
      </c>
      <c r="C87" s="25" t="s">
        <v>22</v>
      </c>
      <c r="D87" s="25" t="s">
        <v>22</v>
      </c>
      <c r="E87" s="25" t="s">
        <v>22</v>
      </c>
      <c r="F87" s="25" t="s">
        <v>22</v>
      </c>
      <c r="G87" s="25" t="s">
        <v>22</v>
      </c>
      <c r="H87" s="25" t="s">
        <v>22</v>
      </c>
      <c r="I87" s="25" t="s">
        <v>22</v>
      </c>
      <c r="J87" s="25" t="s">
        <v>22</v>
      </c>
    </row>
    <row r="88" spans="1:10" x14ac:dyDescent="0.2">
      <c r="A88" s="25" t="s">
        <v>22</v>
      </c>
      <c r="B88" s="25" t="s">
        <v>22</v>
      </c>
      <c r="C88" s="25" t="s">
        <v>22</v>
      </c>
      <c r="D88" s="25" t="s">
        <v>22</v>
      </c>
      <c r="E88" s="25" t="s">
        <v>22</v>
      </c>
      <c r="F88" s="25" t="s">
        <v>22</v>
      </c>
      <c r="G88" s="25" t="s">
        <v>22</v>
      </c>
      <c r="H88" s="25" t="s">
        <v>22</v>
      </c>
      <c r="I88" s="25" t="s">
        <v>22</v>
      </c>
      <c r="J88" s="25" t="s">
        <v>22</v>
      </c>
    </row>
    <row r="89" spans="1:10" x14ac:dyDescent="0.2">
      <c r="A89" s="25" t="s">
        <v>22</v>
      </c>
      <c r="B89" s="25" t="s">
        <v>22</v>
      </c>
      <c r="C89" s="25" t="s">
        <v>22</v>
      </c>
      <c r="D89" s="25" t="s">
        <v>22</v>
      </c>
      <c r="E89" s="25" t="s">
        <v>22</v>
      </c>
      <c r="F89" s="25" t="s">
        <v>22</v>
      </c>
      <c r="G89" s="25" t="s">
        <v>22</v>
      </c>
      <c r="H89" s="25" t="s">
        <v>22</v>
      </c>
      <c r="I89" s="25" t="s">
        <v>22</v>
      </c>
      <c r="J89" s="25" t="s">
        <v>22</v>
      </c>
    </row>
    <row r="90" spans="1:10" x14ac:dyDescent="0.2">
      <c r="A90" s="25" t="s">
        <v>22</v>
      </c>
      <c r="B90" s="25" t="s">
        <v>22</v>
      </c>
      <c r="C90" s="25" t="s">
        <v>22</v>
      </c>
      <c r="D90" s="25" t="s">
        <v>22</v>
      </c>
      <c r="E90" s="25" t="s">
        <v>22</v>
      </c>
      <c r="F90" s="25" t="s">
        <v>22</v>
      </c>
      <c r="G90" s="25" t="s">
        <v>22</v>
      </c>
      <c r="H90" s="25" t="s">
        <v>22</v>
      </c>
      <c r="I90" s="25" t="s">
        <v>22</v>
      </c>
      <c r="J90" s="25" t="s">
        <v>22</v>
      </c>
    </row>
    <row r="91" spans="1:10" x14ac:dyDescent="0.2">
      <c r="A91" s="25" t="s">
        <v>22</v>
      </c>
      <c r="B91" s="25" t="s">
        <v>22</v>
      </c>
      <c r="C91" s="25" t="s">
        <v>22</v>
      </c>
      <c r="D91" s="25" t="s">
        <v>22</v>
      </c>
      <c r="E91" s="25" t="s">
        <v>22</v>
      </c>
      <c r="F91" s="25" t="s">
        <v>22</v>
      </c>
      <c r="G91" s="25" t="s">
        <v>22</v>
      </c>
      <c r="H91" s="25" t="s">
        <v>22</v>
      </c>
      <c r="I91" s="25" t="s">
        <v>22</v>
      </c>
      <c r="J91" s="25" t="s">
        <v>22</v>
      </c>
    </row>
    <row r="92" spans="1:10" x14ac:dyDescent="0.2">
      <c r="A92" s="25" t="s">
        <v>22</v>
      </c>
      <c r="B92" s="25" t="s">
        <v>22</v>
      </c>
      <c r="C92" s="25" t="s">
        <v>22</v>
      </c>
      <c r="D92" s="25" t="s">
        <v>22</v>
      </c>
      <c r="E92" s="25" t="s">
        <v>22</v>
      </c>
      <c r="F92" s="25" t="s">
        <v>22</v>
      </c>
      <c r="G92" s="25" t="s">
        <v>22</v>
      </c>
      <c r="H92" s="25" t="s">
        <v>22</v>
      </c>
      <c r="I92" s="25" t="s">
        <v>22</v>
      </c>
      <c r="J92" s="25" t="s">
        <v>22</v>
      </c>
    </row>
    <row r="93" spans="1:10" x14ac:dyDescent="0.2">
      <c r="A93" s="25" t="s">
        <v>22</v>
      </c>
      <c r="B93" s="25" t="s">
        <v>22</v>
      </c>
      <c r="C93" s="25" t="s">
        <v>22</v>
      </c>
      <c r="D93" s="25" t="s">
        <v>22</v>
      </c>
      <c r="E93" s="25" t="s">
        <v>22</v>
      </c>
      <c r="F93" s="25" t="s">
        <v>22</v>
      </c>
      <c r="G93" s="25" t="s">
        <v>22</v>
      </c>
      <c r="H93" s="25" t="s">
        <v>22</v>
      </c>
      <c r="I93" s="25" t="s">
        <v>22</v>
      </c>
      <c r="J93" s="25" t="s">
        <v>22</v>
      </c>
    </row>
    <row r="94" spans="1:10" x14ac:dyDescent="0.2">
      <c r="A94" s="25" t="s">
        <v>22</v>
      </c>
      <c r="B94" s="25" t="s">
        <v>22</v>
      </c>
      <c r="C94" s="25" t="s">
        <v>22</v>
      </c>
      <c r="D94" s="25" t="s">
        <v>22</v>
      </c>
      <c r="E94" s="25" t="s">
        <v>22</v>
      </c>
      <c r="F94" s="25" t="s">
        <v>22</v>
      </c>
      <c r="G94" s="25" t="s">
        <v>22</v>
      </c>
      <c r="H94" s="25" t="s">
        <v>22</v>
      </c>
      <c r="I94" s="25" t="s">
        <v>22</v>
      </c>
      <c r="J94" s="25" t="s">
        <v>22</v>
      </c>
    </row>
    <row r="95" spans="1:10" x14ac:dyDescent="0.2">
      <c r="A95" s="25" t="s">
        <v>22</v>
      </c>
      <c r="B95" s="25" t="s">
        <v>22</v>
      </c>
      <c r="C95" s="25" t="s">
        <v>22</v>
      </c>
      <c r="D95" s="25" t="s">
        <v>22</v>
      </c>
      <c r="E95" s="25" t="s">
        <v>22</v>
      </c>
      <c r="F95" s="25" t="s">
        <v>22</v>
      </c>
      <c r="G95" s="25" t="s">
        <v>22</v>
      </c>
      <c r="H95" s="25" t="s">
        <v>22</v>
      </c>
      <c r="I95" s="25" t="s">
        <v>22</v>
      </c>
      <c r="J95" s="25" t="s">
        <v>22</v>
      </c>
    </row>
    <row r="96" spans="1:10" x14ac:dyDescent="0.2">
      <c r="A96" s="25" t="s">
        <v>22</v>
      </c>
      <c r="B96" s="25" t="s">
        <v>22</v>
      </c>
      <c r="C96" s="25" t="s">
        <v>22</v>
      </c>
      <c r="D96" s="25" t="s">
        <v>22</v>
      </c>
      <c r="E96" s="25" t="s">
        <v>22</v>
      </c>
      <c r="F96" s="25" t="s">
        <v>22</v>
      </c>
      <c r="G96" s="25" t="s">
        <v>22</v>
      </c>
      <c r="H96" s="25" t="s">
        <v>22</v>
      </c>
      <c r="I96" s="25" t="s">
        <v>22</v>
      </c>
      <c r="J96" s="25" t="s">
        <v>22</v>
      </c>
    </row>
    <row r="97" spans="1:10" x14ac:dyDescent="0.2">
      <c r="A97" s="25" t="s">
        <v>22</v>
      </c>
      <c r="B97" s="25" t="s">
        <v>22</v>
      </c>
      <c r="C97" s="25" t="s">
        <v>22</v>
      </c>
      <c r="D97" s="25" t="s">
        <v>22</v>
      </c>
      <c r="E97" s="25" t="s">
        <v>22</v>
      </c>
      <c r="F97" s="25" t="s">
        <v>22</v>
      </c>
      <c r="G97" s="25" t="s">
        <v>22</v>
      </c>
      <c r="H97" s="25" t="s">
        <v>22</v>
      </c>
      <c r="I97" s="25" t="s">
        <v>22</v>
      </c>
      <c r="J97" s="25" t="s">
        <v>22</v>
      </c>
    </row>
    <row r="98" spans="1:10" x14ac:dyDescent="0.2">
      <c r="A98" s="25" t="s">
        <v>22</v>
      </c>
      <c r="B98" s="25" t="s">
        <v>22</v>
      </c>
      <c r="C98" s="25" t="s">
        <v>22</v>
      </c>
      <c r="D98" s="25" t="s">
        <v>22</v>
      </c>
      <c r="E98" s="25" t="s">
        <v>22</v>
      </c>
      <c r="F98" s="25" t="s">
        <v>22</v>
      </c>
      <c r="G98" s="25" t="s">
        <v>22</v>
      </c>
      <c r="H98" s="25" t="s">
        <v>22</v>
      </c>
      <c r="I98" s="25" t="s">
        <v>22</v>
      </c>
      <c r="J98" s="25" t="s">
        <v>22</v>
      </c>
    </row>
    <row r="99" spans="1:10" x14ac:dyDescent="0.2">
      <c r="A99" s="25" t="s">
        <v>22</v>
      </c>
      <c r="B99" s="25" t="s">
        <v>22</v>
      </c>
      <c r="C99" s="25" t="s">
        <v>22</v>
      </c>
      <c r="D99" s="25" t="s">
        <v>22</v>
      </c>
      <c r="E99" s="25" t="s">
        <v>22</v>
      </c>
      <c r="F99" s="25" t="s">
        <v>22</v>
      </c>
      <c r="G99" s="25" t="s">
        <v>22</v>
      </c>
      <c r="H99" s="25" t="s">
        <v>22</v>
      </c>
      <c r="I99" s="25" t="s">
        <v>22</v>
      </c>
      <c r="J99" s="25" t="s">
        <v>22</v>
      </c>
    </row>
    <row r="100" spans="1:10" x14ac:dyDescent="0.2">
      <c r="A100" s="25" t="s">
        <v>22</v>
      </c>
      <c r="B100" s="25" t="s">
        <v>22</v>
      </c>
      <c r="C100" s="25" t="s">
        <v>22</v>
      </c>
      <c r="D100" s="25" t="s">
        <v>22</v>
      </c>
      <c r="E100" s="25" t="s">
        <v>22</v>
      </c>
      <c r="F100" s="25" t="s">
        <v>22</v>
      </c>
      <c r="G100" s="25" t="s">
        <v>22</v>
      </c>
      <c r="H100" s="25" t="s">
        <v>22</v>
      </c>
      <c r="I100" s="25" t="s">
        <v>22</v>
      </c>
      <c r="J100" s="25" t="s">
        <v>22</v>
      </c>
    </row>
    <row r="101" spans="1:10" x14ac:dyDescent="0.2">
      <c r="A101" s="25" t="s">
        <v>22</v>
      </c>
      <c r="B101" s="25" t="s">
        <v>22</v>
      </c>
      <c r="C101" s="25" t="s">
        <v>22</v>
      </c>
      <c r="D101" s="25" t="s">
        <v>22</v>
      </c>
      <c r="E101" s="25" t="s">
        <v>22</v>
      </c>
      <c r="F101" s="25" t="s">
        <v>22</v>
      </c>
      <c r="G101" s="25" t="s">
        <v>22</v>
      </c>
      <c r="H101" s="25" t="s">
        <v>22</v>
      </c>
      <c r="I101" s="25" t="s">
        <v>22</v>
      </c>
      <c r="J101" s="25" t="s">
        <v>22</v>
      </c>
    </row>
    <row r="102" spans="1:10" x14ac:dyDescent="0.2">
      <c r="A102" s="25" t="s">
        <v>22</v>
      </c>
      <c r="B102" s="25" t="s">
        <v>22</v>
      </c>
      <c r="C102" s="25" t="s">
        <v>22</v>
      </c>
      <c r="D102" s="25" t="s">
        <v>22</v>
      </c>
      <c r="E102" s="25" t="s">
        <v>22</v>
      </c>
      <c r="F102" s="25" t="s">
        <v>22</v>
      </c>
      <c r="G102" s="25" t="s">
        <v>22</v>
      </c>
      <c r="H102" s="25" t="s">
        <v>22</v>
      </c>
      <c r="I102" s="25" t="s">
        <v>22</v>
      </c>
      <c r="J102" s="25" t="s">
        <v>22</v>
      </c>
    </row>
    <row r="103" spans="1:10" x14ac:dyDescent="0.2">
      <c r="A103" s="25" t="s">
        <v>22</v>
      </c>
      <c r="B103" s="25" t="s">
        <v>22</v>
      </c>
      <c r="C103" s="25" t="s">
        <v>22</v>
      </c>
      <c r="D103" s="25" t="s">
        <v>22</v>
      </c>
      <c r="E103" s="25" t="s">
        <v>22</v>
      </c>
      <c r="F103" s="25" t="s">
        <v>22</v>
      </c>
      <c r="G103" s="25" t="s">
        <v>22</v>
      </c>
      <c r="H103" s="25" t="s">
        <v>22</v>
      </c>
      <c r="I103" s="25" t="s">
        <v>22</v>
      </c>
      <c r="J103" s="25" t="s">
        <v>22</v>
      </c>
    </row>
    <row r="104" spans="1:10" x14ac:dyDescent="0.2">
      <c r="A104" s="25" t="s">
        <v>22</v>
      </c>
      <c r="B104" s="25" t="s">
        <v>22</v>
      </c>
      <c r="C104" s="25" t="s">
        <v>22</v>
      </c>
      <c r="D104" s="25" t="s">
        <v>22</v>
      </c>
      <c r="E104" s="25" t="s">
        <v>22</v>
      </c>
      <c r="F104" s="25" t="s">
        <v>22</v>
      </c>
      <c r="G104" s="25" t="s">
        <v>22</v>
      </c>
      <c r="H104" s="25" t="s">
        <v>22</v>
      </c>
      <c r="I104" s="25" t="s">
        <v>22</v>
      </c>
      <c r="J104" s="25" t="s">
        <v>22</v>
      </c>
    </row>
    <row r="105" spans="1:10" x14ac:dyDescent="0.2">
      <c r="A105" s="25" t="s">
        <v>22</v>
      </c>
      <c r="B105" s="25" t="s">
        <v>22</v>
      </c>
      <c r="C105" s="25" t="s">
        <v>22</v>
      </c>
      <c r="D105" s="25" t="s">
        <v>22</v>
      </c>
      <c r="E105" s="25" t="s">
        <v>22</v>
      </c>
      <c r="F105" s="25" t="s">
        <v>22</v>
      </c>
      <c r="G105" s="25" t="s">
        <v>22</v>
      </c>
      <c r="H105" s="25" t="s">
        <v>22</v>
      </c>
      <c r="I105" s="25" t="s">
        <v>22</v>
      </c>
      <c r="J105" s="25" t="s">
        <v>22</v>
      </c>
    </row>
    <row r="106" spans="1:10" x14ac:dyDescent="0.2">
      <c r="A106" s="25" t="s">
        <v>22</v>
      </c>
      <c r="B106" s="25" t="s">
        <v>22</v>
      </c>
      <c r="C106" s="25" t="s">
        <v>22</v>
      </c>
      <c r="D106" s="25" t="s">
        <v>22</v>
      </c>
      <c r="E106" s="25" t="s">
        <v>22</v>
      </c>
      <c r="F106" s="25" t="s">
        <v>22</v>
      </c>
      <c r="G106" s="25" t="s">
        <v>22</v>
      </c>
      <c r="H106" s="25" t="s">
        <v>22</v>
      </c>
      <c r="I106" s="25" t="s">
        <v>22</v>
      </c>
      <c r="J106" s="25" t="s">
        <v>22</v>
      </c>
    </row>
    <row r="107" spans="1:10" x14ac:dyDescent="0.2">
      <c r="A107" s="25" t="s">
        <v>22</v>
      </c>
      <c r="B107" s="25" t="s">
        <v>22</v>
      </c>
      <c r="C107" s="25" t="s">
        <v>22</v>
      </c>
      <c r="D107" s="25" t="s">
        <v>22</v>
      </c>
      <c r="E107" s="25" t="s">
        <v>22</v>
      </c>
      <c r="F107" s="25" t="s">
        <v>22</v>
      </c>
      <c r="G107" s="25" t="s">
        <v>22</v>
      </c>
      <c r="H107" s="25" t="s">
        <v>22</v>
      </c>
      <c r="I107" s="25" t="s">
        <v>22</v>
      </c>
      <c r="J107" s="25" t="s">
        <v>22</v>
      </c>
    </row>
    <row r="108" spans="1:10" x14ac:dyDescent="0.2">
      <c r="A108" s="25" t="s">
        <v>22</v>
      </c>
      <c r="B108" s="25" t="s">
        <v>22</v>
      </c>
      <c r="C108" s="25" t="s">
        <v>22</v>
      </c>
      <c r="D108" s="25" t="s">
        <v>22</v>
      </c>
      <c r="E108" s="25" t="s">
        <v>22</v>
      </c>
      <c r="F108" s="25" t="s">
        <v>22</v>
      </c>
      <c r="G108" s="25" t="s">
        <v>22</v>
      </c>
      <c r="H108" s="25" t="s">
        <v>22</v>
      </c>
      <c r="I108" s="25" t="s">
        <v>22</v>
      </c>
      <c r="J108" s="25" t="s">
        <v>22</v>
      </c>
    </row>
    <row r="109" spans="1:10" x14ac:dyDescent="0.2">
      <c r="A109" s="25" t="s">
        <v>22</v>
      </c>
      <c r="B109" s="25" t="s">
        <v>22</v>
      </c>
      <c r="C109" s="25" t="s">
        <v>22</v>
      </c>
      <c r="D109" s="25" t="s">
        <v>22</v>
      </c>
      <c r="E109" s="25" t="s">
        <v>22</v>
      </c>
      <c r="F109" s="25" t="s">
        <v>22</v>
      </c>
      <c r="G109" s="25" t="s">
        <v>22</v>
      </c>
      <c r="H109" s="25" t="s">
        <v>22</v>
      </c>
      <c r="I109" s="25" t="s">
        <v>22</v>
      </c>
      <c r="J109" s="25" t="s">
        <v>22</v>
      </c>
    </row>
    <row r="110" spans="1:10" x14ac:dyDescent="0.2">
      <c r="A110" s="25" t="s">
        <v>22</v>
      </c>
      <c r="B110" s="25" t="s">
        <v>22</v>
      </c>
      <c r="C110" s="25" t="s">
        <v>22</v>
      </c>
      <c r="D110" s="25" t="s">
        <v>22</v>
      </c>
      <c r="E110" s="25" t="s">
        <v>22</v>
      </c>
      <c r="F110" s="25" t="s">
        <v>22</v>
      </c>
      <c r="G110" s="25" t="s">
        <v>22</v>
      </c>
      <c r="H110" s="25" t="s">
        <v>22</v>
      </c>
      <c r="I110" s="25" t="s">
        <v>22</v>
      </c>
      <c r="J110" s="25" t="s">
        <v>22</v>
      </c>
    </row>
    <row r="111" spans="1:10" x14ac:dyDescent="0.2">
      <c r="A111" s="25" t="s">
        <v>22</v>
      </c>
      <c r="B111" s="25" t="s">
        <v>22</v>
      </c>
      <c r="C111" s="25" t="s">
        <v>22</v>
      </c>
      <c r="D111" s="25" t="s">
        <v>22</v>
      </c>
      <c r="E111" s="25" t="s">
        <v>22</v>
      </c>
      <c r="F111" s="25" t="s">
        <v>22</v>
      </c>
      <c r="G111" s="25" t="s">
        <v>22</v>
      </c>
      <c r="H111" s="25" t="s">
        <v>22</v>
      </c>
      <c r="I111" s="25" t="s">
        <v>22</v>
      </c>
      <c r="J111" s="25" t="s">
        <v>22</v>
      </c>
    </row>
    <row r="112" spans="1:10" x14ac:dyDescent="0.2">
      <c r="A112" s="25" t="s">
        <v>22</v>
      </c>
      <c r="B112" s="25" t="s">
        <v>22</v>
      </c>
      <c r="C112" s="25" t="s">
        <v>22</v>
      </c>
      <c r="D112" s="25" t="s">
        <v>22</v>
      </c>
      <c r="E112" s="25" t="s">
        <v>22</v>
      </c>
      <c r="F112" s="25" t="s">
        <v>22</v>
      </c>
      <c r="G112" s="25" t="s">
        <v>22</v>
      </c>
      <c r="H112" s="25" t="s">
        <v>22</v>
      </c>
      <c r="I112" s="25" t="s">
        <v>22</v>
      </c>
      <c r="J112" s="25" t="s">
        <v>22</v>
      </c>
    </row>
    <row r="113" spans="1:10" x14ac:dyDescent="0.2">
      <c r="A113" s="25" t="s">
        <v>22</v>
      </c>
      <c r="B113" s="25" t="s">
        <v>22</v>
      </c>
      <c r="C113" s="25" t="s">
        <v>22</v>
      </c>
      <c r="D113" s="25" t="s">
        <v>22</v>
      </c>
      <c r="E113" s="25" t="s">
        <v>22</v>
      </c>
      <c r="F113" s="25" t="s">
        <v>22</v>
      </c>
      <c r="G113" s="25" t="s">
        <v>22</v>
      </c>
      <c r="H113" s="25" t="s">
        <v>22</v>
      </c>
      <c r="I113" s="25" t="s">
        <v>22</v>
      </c>
      <c r="J113" s="25" t="s">
        <v>22</v>
      </c>
    </row>
  </sheetData>
  <mergeCells count="3">
    <mergeCell ref="D3:I3"/>
    <mergeCell ref="D2:I2"/>
    <mergeCell ref="D4:I4"/>
  </mergeCells>
  <pageMargins left="0.7" right="0.7" top="0.75" bottom="0.75" header="0.3" footer="0.3"/>
  <pageSetup orientation="portrait" r:id="rId1"/>
  <tableParts count="11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9B951B-CAC7-0347-82E2-212EC6FC85A9}">
  <dimension ref="A1:F100"/>
  <sheetViews>
    <sheetView zoomScale="120" zoomScaleNormal="120" workbookViewId="0">
      <selection activeCell="F20" sqref="F20:F21"/>
    </sheetView>
  </sheetViews>
  <sheetFormatPr baseColWidth="10" defaultColWidth="11.5" defaultRowHeight="15" x14ac:dyDescent="0.2"/>
  <cols>
    <col min="1" max="1" width="21.6640625" customWidth="1"/>
    <col min="3" max="4" width="24.6640625" customWidth="1"/>
    <col min="5" max="5" width="20.33203125" customWidth="1"/>
    <col min="6" max="6" width="25.33203125" customWidth="1"/>
    <col min="8" max="8" width="20.83203125" customWidth="1"/>
    <col min="11" max="11" width="17.83203125" customWidth="1"/>
    <col min="15" max="15" width="20.83203125" customWidth="1"/>
    <col min="18" max="18" width="17.83203125" customWidth="1"/>
    <col min="22" max="22" width="20.83203125" customWidth="1"/>
    <col min="25" max="25" width="17.83203125" customWidth="1"/>
    <col min="29" max="29" width="20.83203125" customWidth="1"/>
    <col min="32" max="32" width="17.83203125" customWidth="1"/>
    <col min="36" max="36" width="20.83203125" customWidth="1"/>
    <col min="39" max="39" width="17.83203125" customWidth="1"/>
    <col min="43" max="43" width="20.83203125" customWidth="1"/>
  </cols>
  <sheetData>
    <row r="1" spans="1:6" x14ac:dyDescent="0.2">
      <c r="A1" s="30" t="s">
        <v>99</v>
      </c>
      <c r="C1" s="109" t="s">
        <v>100</v>
      </c>
      <c r="D1" s="109"/>
      <c r="E1" s="109"/>
      <c r="F1" s="109"/>
    </row>
    <row r="2" spans="1:6" s="27" customFormat="1" x14ac:dyDescent="0.2">
      <c r="A2" s="1" t="str">
        <f>IF('Intenions to Adopt- Data Input'!A13="NA","NULL",IF(OR(COUNTIF('Intenions to Adopt- Data Input'!A13:J13, 4),COUNTIF('Intenions to Adopt- Data Input'!A13:J13, 5)),"Yes","No"))</f>
        <v>NULL</v>
      </c>
      <c r="C2" s="134" t="s">
        <v>101</v>
      </c>
      <c r="D2" s="134" t="s">
        <v>102</v>
      </c>
      <c r="E2" s="134" t="s">
        <v>103</v>
      </c>
      <c r="F2" s="134" t="s">
        <v>104</v>
      </c>
    </row>
    <row r="3" spans="1:6" x14ac:dyDescent="0.2">
      <c r="A3" s="1" t="str">
        <f>IF('Intenions to Adopt- Data Input'!A14="NA","NULL",IF(OR(COUNTIF('Intenions to Adopt- Data Input'!A14:J14, 4),COUNTIF('Intenions to Adopt- Data Input'!A14:J14, 5)),"Yes","No"))</f>
        <v>NULL</v>
      </c>
      <c r="C3" s="134"/>
      <c r="D3" s="134"/>
      <c r="E3" s="134"/>
      <c r="F3" s="134"/>
    </row>
    <row r="4" spans="1:6" x14ac:dyDescent="0.2">
      <c r="A4" s="1" t="str">
        <f>IF('Intenions to Adopt- Data Input'!A15="NA","NULL",IF(OR(COUNTIF('Intenions to Adopt- Data Input'!A15:J15, 4),COUNTIF('Intenions to Adopt- Data Input'!A15:J15, 5)),"Yes","No"))</f>
        <v>NULL</v>
      </c>
      <c r="C4" t="s">
        <v>93</v>
      </c>
      <c r="D4">
        <f>SUM('Intenions to Adopt- Per Item'!C3:C4)</f>
        <v>0</v>
      </c>
      <c r="E4">
        <f>SUM('Intenions to Adopt- Per Item'!C8)</f>
        <v>0</v>
      </c>
      <c r="F4" s="66" t="e">
        <f>D4/E4</f>
        <v>#DIV/0!</v>
      </c>
    </row>
    <row r="5" spans="1:6" x14ac:dyDescent="0.2">
      <c r="A5" s="1" t="str">
        <f>IF('Intenions to Adopt- Data Input'!A16="NA","NULL",IF(OR(COUNTIF('Intenions to Adopt- Data Input'!A16:J16, 4),COUNTIF('Intenions to Adopt- Data Input'!A16:J16, 5)),"Yes","No"))</f>
        <v>NULL</v>
      </c>
      <c r="C5" t="s">
        <v>94</v>
      </c>
      <c r="D5">
        <f>SUM('Intenions to Adopt- Per Item'!J3:J4)</f>
        <v>0</v>
      </c>
      <c r="E5">
        <f>'Intenions to Adopt- Per Item'!J8</f>
        <v>0</v>
      </c>
      <c r="F5" s="66" t="e">
        <f t="shared" ref="F5:F13" si="0">D5/E5</f>
        <v>#DIV/0!</v>
      </c>
    </row>
    <row r="6" spans="1:6" x14ac:dyDescent="0.2">
      <c r="A6" s="1" t="str">
        <f>IF('Intenions to Adopt- Data Input'!A17="NA","NULL",IF(OR(COUNTIF('Intenions to Adopt- Data Input'!A17:J17, 4),COUNTIF('Intenions to Adopt- Data Input'!A17:J17, 5)),"Yes","No"))</f>
        <v>NULL</v>
      </c>
      <c r="C6" t="s">
        <v>95</v>
      </c>
      <c r="D6">
        <f>SUM('Intenions to Adopt- Per Item'!Q3:Q4)</f>
        <v>0</v>
      </c>
      <c r="E6">
        <f>'Intenions to Adopt- Per Item'!Q8</f>
        <v>0</v>
      </c>
      <c r="F6" s="66" t="e">
        <f t="shared" si="0"/>
        <v>#DIV/0!</v>
      </c>
    </row>
    <row r="7" spans="1:6" x14ac:dyDescent="0.2">
      <c r="A7" s="1" t="str">
        <f>IF('Intenions to Adopt- Data Input'!A18="NA","NULL",IF(OR(COUNTIF('Intenions to Adopt- Data Input'!A18:J18, 4),COUNTIF('Intenions to Adopt- Data Input'!A18:J18, 5)),"Yes","No"))</f>
        <v>NULL</v>
      </c>
      <c r="C7" t="s">
        <v>96</v>
      </c>
      <c r="D7">
        <f>SUM('Intenions to Adopt- Per Item'!X3:X4)</f>
        <v>0</v>
      </c>
      <c r="E7">
        <f>'Intenions to Adopt- Per Item'!X8</f>
        <v>0</v>
      </c>
      <c r="F7" s="66" t="e">
        <f t="shared" si="0"/>
        <v>#DIV/0!</v>
      </c>
    </row>
    <row r="8" spans="1:6" x14ac:dyDescent="0.2">
      <c r="A8" s="1" t="str">
        <f>IF('Intenions to Adopt- Data Input'!A19="NA","NULL",IF(OR(COUNTIF('Intenions to Adopt- Data Input'!A19:J19, 4),COUNTIF('Intenions to Adopt- Data Input'!A19:J19, 5)),"Yes","No"))</f>
        <v>NULL</v>
      </c>
      <c r="C8" t="s">
        <v>97</v>
      </c>
      <c r="D8">
        <f>SUM('Intenions to Adopt- Per Item'!AE3:AE4)</f>
        <v>0</v>
      </c>
      <c r="E8">
        <f>'Intenions to Adopt- Per Item'!AE8</f>
        <v>0</v>
      </c>
      <c r="F8" s="66" t="e">
        <f t="shared" si="0"/>
        <v>#DIV/0!</v>
      </c>
    </row>
    <row r="9" spans="1:6" ht="16" x14ac:dyDescent="0.2">
      <c r="A9" s="26" t="str">
        <f>IF('Intenions to Adopt- Data Input'!A20="NA","NULL",IF(OR(COUNTIF('Intenions to Adopt- Data Input'!A20:J20, 4),COUNTIF('Intenions to Adopt- Data Input'!A20:J20, 5)),"Yes","No"))</f>
        <v>NULL</v>
      </c>
      <c r="C9" t="s">
        <v>98</v>
      </c>
      <c r="D9">
        <f>SUM('Intenions to Adopt- Per Item'!AL3:AL4)</f>
        <v>0</v>
      </c>
      <c r="E9">
        <f>'Intenions to Adopt- Per Item'!AL8</f>
        <v>0</v>
      </c>
      <c r="F9" s="64" t="e">
        <f t="shared" si="0"/>
        <v>#DIV/0!</v>
      </c>
    </row>
    <row r="10" spans="1:6" ht="16" x14ac:dyDescent="0.2">
      <c r="A10" s="26" t="str">
        <f>IF('Intenions to Adopt- Data Input'!A21="NA","NULL",IF(OR(COUNTIF('Intenions to Adopt- Data Input'!A21:J21, 4),COUNTIF('Intenions to Adopt- Data Input'!A21:J21, 5)),"Yes","No"))</f>
        <v>NULL</v>
      </c>
      <c r="C10" t="s">
        <v>131</v>
      </c>
      <c r="D10">
        <f>SUM('Intenions to Adopt- Per Item'!AS3:AS4)</f>
        <v>0</v>
      </c>
      <c r="E10">
        <f>'Intenions to Adopt- Per Item'!AS8</f>
        <v>0</v>
      </c>
      <c r="F10" s="64" t="e">
        <f t="shared" si="0"/>
        <v>#DIV/0!</v>
      </c>
    </row>
    <row r="11" spans="1:6" ht="16" x14ac:dyDescent="0.2">
      <c r="A11" s="26" t="str">
        <f>IF('Intenions to Adopt- Data Input'!A22="NA","NULL",IF(OR(COUNTIF('Intenions to Adopt- Data Input'!A22:J22, 4),COUNTIF('Intenions to Adopt- Data Input'!A22:J22, 5)),"Yes","No"))</f>
        <v>NULL</v>
      </c>
      <c r="C11" t="s">
        <v>132</v>
      </c>
      <c r="D11">
        <f>SUM('Intenions to Adopt- Per Item'!AZ3:AZ4)</f>
        <v>0</v>
      </c>
      <c r="E11">
        <f>'Intenions to Adopt- Per Item'!AZ8</f>
        <v>0</v>
      </c>
      <c r="F11" s="64" t="e">
        <f t="shared" si="0"/>
        <v>#DIV/0!</v>
      </c>
    </row>
    <row r="12" spans="1:6" ht="16" x14ac:dyDescent="0.2">
      <c r="A12" s="26" t="str">
        <f>IF('Intenions to Adopt- Data Input'!A23="NA","NULL",IF(OR(COUNTIF('Intenions to Adopt- Data Input'!A23:J23, 4),COUNTIF('Intenions to Adopt- Data Input'!A23:J23, 5)),"Yes","No"))</f>
        <v>NULL</v>
      </c>
      <c r="C12" t="s">
        <v>133</v>
      </c>
      <c r="D12">
        <f>SUM('Intenions to Adopt- Per Item'!BG3:BG4)</f>
        <v>0</v>
      </c>
      <c r="E12">
        <f>'Intenions to Adopt- Per Item'!BG8</f>
        <v>0</v>
      </c>
      <c r="F12" s="64" t="e">
        <f t="shared" si="0"/>
        <v>#DIV/0!</v>
      </c>
    </row>
    <row r="13" spans="1:6" ht="16" x14ac:dyDescent="0.2">
      <c r="A13" s="26" t="str">
        <f>IF('Intenions to Adopt- Data Input'!A24="NA","NULL",IF(OR(COUNTIF('Intenions to Adopt- Data Input'!A24:J24, 4),COUNTIF('Intenions to Adopt- Data Input'!A24:J24, 5)),"Yes","No"))</f>
        <v>NULL</v>
      </c>
      <c r="C13" s="12" t="s">
        <v>134</v>
      </c>
      <c r="D13" s="12">
        <f>SUM('Intenions to Adopt- Per Item'!BN3:BN4)</f>
        <v>0</v>
      </c>
      <c r="E13" s="12">
        <f>'Intenions to Adopt- Per Item'!BN8</f>
        <v>0</v>
      </c>
      <c r="F13" s="95" t="e">
        <f t="shared" si="0"/>
        <v>#DIV/0!</v>
      </c>
    </row>
    <row r="14" spans="1:6" ht="16" x14ac:dyDescent="0.2">
      <c r="A14" s="26" t="str">
        <f>IF('Intenions to Adopt- Data Input'!A25="NA","NULL",IF(OR(COUNTIF('Intenions to Adopt- Data Input'!A25:J25, 4),COUNTIF('Intenions to Adopt- Data Input'!A25:J25, 5)),"Yes","No"))</f>
        <v>NULL</v>
      </c>
      <c r="C14" s="6" t="s">
        <v>105</v>
      </c>
      <c r="D14" s="6"/>
      <c r="E14" s="6"/>
      <c r="F14" s="6"/>
    </row>
    <row r="15" spans="1:6" ht="16" x14ac:dyDescent="0.2">
      <c r="A15" s="26" t="str">
        <f>IF('Intenions to Adopt- Data Input'!A26="NA","NULL",IF(OR(COUNTIF('Intenions to Adopt- Data Input'!A26:J26, 4),COUNTIF('Intenions to Adopt- Data Input'!A26:J26, 5)),"Yes","No"))</f>
        <v>NULL</v>
      </c>
    </row>
    <row r="16" spans="1:6" ht="16" x14ac:dyDescent="0.2">
      <c r="A16" s="26" t="str">
        <f>IF('Intenions to Adopt- Data Input'!A27="NA","NULL",IF(OR(COUNTIF('Intenions to Adopt- Data Input'!A27:J27, 4),COUNTIF('Intenions to Adopt- Data Input'!A27:J27, 5)),"Yes","No"))</f>
        <v>NULL</v>
      </c>
    </row>
    <row r="17" spans="1:6" ht="16" x14ac:dyDescent="0.2">
      <c r="A17" s="26" t="str">
        <f>IF('Intenions to Adopt- Data Input'!A28="NA","NULL",IF(OR(COUNTIF('Intenions to Adopt- Data Input'!A28:J28, 4),COUNTIF('Intenions to Adopt- Data Input'!A28:J28, 5)),"Yes","No"))</f>
        <v>NULL</v>
      </c>
    </row>
    <row r="18" spans="1:6" ht="16" x14ac:dyDescent="0.2">
      <c r="A18" s="26" t="str">
        <f>IF('Intenions to Adopt- Data Input'!A29="NA","NULL",IF(OR(COUNTIF('Intenions to Adopt- Data Input'!A29:J29, 4),COUNTIF('Intenions to Adopt- Data Input'!A29:J29, 5)),"Yes","No"))</f>
        <v>NULL</v>
      </c>
      <c r="C18" s="135" t="s">
        <v>106</v>
      </c>
      <c r="D18" s="135"/>
      <c r="E18" s="135"/>
      <c r="F18" s="135"/>
    </row>
    <row r="19" spans="1:6" ht="16" x14ac:dyDescent="0.2">
      <c r="A19" s="26" t="str">
        <f>IF('Intenions to Adopt- Data Input'!A30="NA","NULL",IF(OR(COUNTIF('Intenions to Adopt- Data Input'!A30:J30, 4),COUNTIF('Intenions to Adopt- Data Input'!A30:J30, 5)),"Yes","No"))</f>
        <v>NULL</v>
      </c>
      <c r="C19" s="111"/>
      <c r="D19" s="111"/>
      <c r="E19" s="28" t="s">
        <v>52</v>
      </c>
      <c r="F19" s="3" t="s">
        <v>53</v>
      </c>
    </row>
    <row r="20" spans="1:6" ht="16" x14ac:dyDescent="0.2">
      <c r="A20" s="26" t="str">
        <f>IF('Intenions to Adopt- Data Input'!A31="NA","NULL",IF(OR(COUNTIF('Intenions to Adopt- Data Input'!A31:J31, 4),COUNTIF('Intenions to Adopt- Data Input'!A31:J31, 5)),"Yes","No"))</f>
        <v>NULL</v>
      </c>
      <c r="C20" s="136" t="s">
        <v>107</v>
      </c>
      <c r="D20" s="136"/>
      <c r="E20" s="138">
        <f>COUNTIF(Table43[Behavior Change], "Yes")</f>
        <v>0</v>
      </c>
      <c r="F20" s="160" t="e">
        <f>COUNTIF(Table43[Behavior Change], "Yes")/ (COUNTIF(Table43[Behavior Change], "Yes") + COUNTIF(Table43[Behavior Change], "No"))</f>
        <v>#DIV/0!</v>
      </c>
    </row>
    <row r="21" spans="1:6" ht="16" x14ac:dyDescent="0.2">
      <c r="A21" s="26" t="str">
        <f>IF('Intenions to Adopt- Data Input'!A32="NA","NULL",IF(OR(COUNTIF('Intenions to Adopt- Data Input'!A32:J32, 4),COUNTIF('Intenions to Adopt- Data Input'!A32:J32, 5)),"Yes","No"))</f>
        <v>NULL</v>
      </c>
      <c r="C21" s="137"/>
      <c r="D21" s="137"/>
      <c r="E21" s="139"/>
      <c r="F21" s="161"/>
    </row>
    <row r="22" spans="1:6" ht="16" x14ac:dyDescent="0.2">
      <c r="A22" s="26" t="str">
        <f>IF('Intenions to Adopt- Data Input'!A33="NA","NULL",IF(OR(COUNTIF('Intenions to Adopt- Data Input'!A33:J33, 4),COUNTIF('Intenions to Adopt- Data Input'!A33:J33, 5)),"Yes","No"))</f>
        <v>NULL</v>
      </c>
    </row>
    <row r="23" spans="1:6" ht="16" x14ac:dyDescent="0.2">
      <c r="A23" s="26" t="str">
        <f>IF('Intenions to Adopt- Data Input'!A34="NA","NULL",IF(OR(COUNTIF('Intenions to Adopt- Data Input'!A34:J34, 4),COUNTIF('Intenions to Adopt- Data Input'!A34:J34, 5)),"Yes","No"))</f>
        <v>NULL</v>
      </c>
    </row>
    <row r="24" spans="1:6" ht="16" x14ac:dyDescent="0.2">
      <c r="A24" s="26" t="str">
        <f>IF('Intenions to Adopt- Data Input'!A35="NA","NULL",IF(OR(COUNTIF('Intenions to Adopt- Data Input'!A35:J35, 4),COUNTIF('Intenions to Adopt- Data Input'!A35:J35, 5)),"Yes","No"))</f>
        <v>NULL</v>
      </c>
    </row>
    <row r="25" spans="1:6" ht="16" x14ac:dyDescent="0.2">
      <c r="A25" s="26" t="str">
        <f>IF('Intenions to Adopt- Data Input'!A36="NA","NULL",IF(OR(COUNTIF('Intenions to Adopt- Data Input'!A36:J36, 4),COUNTIF('Intenions to Adopt- Data Input'!A36:J36, 5)),"Yes","No"))</f>
        <v>NULL</v>
      </c>
    </row>
    <row r="26" spans="1:6" ht="16" x14ac:dyDescent="0.2">
      <c r="A26" s="26" t="str">
        <f>IF('Intenions to Adopt- Data Input'!A37="NA","NULL",IF(OR(COUNTIF('Intenions to Adopt- Data Input'!A37:J37, 4),COUNTIF('Intenions to Adopt- Data Input'!A37:J37, 5)),"Yes","No"))</f>
        <v>NULL</v>
      </c>
    </row>
    <row r="27" spans="1:6" ht="16" x14ac:dyDescent="0.2">
      <c r="A27" s="26" t="str">
        <f>IF('Intenions to Adopt- Data Input'!A38="NA","NULL",IF(OR(COUNTIF('Intenions to Adopt- Data Input'!A38:J38, 4),COUNTIF('Intenions to Adopt- Data Input'!A38:J38, 5)),"Yes","No"))</f>
        <v>NULL</v>
      </c>
    </row>
    <row r="28" spans="1:6" ht="16" x14ac:dyDescent="0.2">
      <c r="A28" s="26" t="str">
        <f>IF('Intenions to Adopt- Data Input'!A39="NA","NULL",IF(OR(COUNTIF('Intenions to Adopt- Data Input'!A39:J39, 4),COUNTIF('Intenions to Adopt- Data Input'!A39:J39, 5)),"Yes","No"))</f>
        <v>NULL</v>
      </c>
    </row>
    <row r="29" spans="1:6" ht="16" x14ac:dyDescent="0.2">
      <c r="A29" s="26" t="str">
        <f>IF('Intenions to Adopt- Data Input'!A40="NA","NULL",IF(OR(COUNTIF('Intenions to Adopt- Data Input'!A40:J40, 4),COUNTIF('Intenions to Adopt- Data Input'!A40:J40, 5)),"Yes","No"))</f>
        <v>NULL</v>
      </c>
    </row>
    <row r="30" spans="1:6" ht="16" x14ac:dyDescent="0.2">
      <c r="A30" s="26" t="str">
        <f>IF('Intenions to Adopt- Data Input'!A41="NA","NULL",IF(OR(COUNTIF('Intenions to Adopt- Data Input'!A41:J41, 4),COUNTIF('Intenions to Adopt- Data Input'!A41:J41, 5)),"Yes","No"))</f>
        <v>NULL</v>
      </c>
    </row>
    <row r="31" spans="1:6" ht="16" x14ac:dyDescent="0.2">
      <c r="A31" s="26" t="str">
        <f>IF('Intenions to Adopt- Data Input'!A42="NA","NULL",IF(OR(COUNTIF('Intenions to Adopt- Data Input'!A42:J42, 4),COUNTIF('Intenions to Adopt- Data Input'!A42:J42, 5)),"Yes","No"))</f>
        <v>NULL</v>
      </c>
    </row>
    <row r="32" spans="1:6" ht="16" x14ac:dyDescent="0.2">
      <c r="A32" s="26" t="str">
        <f>IF('Intenions to Adopt- Data Input'!A43="NA","NULL",IF(OR(COUNTIF('Intenions to Adopt- Data Input'!A43:J43, 4),COUNTIF('Intenions to Adopt- Data Input'!A43:J43, 5)),"Yes","No"))</f>
        <v>NULL</v>
      </c>
    </row>
    <row r="33" spans="1:1" ht="16" x14ac:dyDescent="0.2">
      <c r="A33" s="26" t="str">
        <f>IF('Intenions to Adopt- Data Input'!A44="NA","NULL",IF(OR(COUNTIF('Intenions to Adopt- Data Input'!A44:J44, 4),COUNTIF('Intenions to Adopt- Data Input'!A44:J44, 5)),"Yes","No"))</f>
        <v>NULL</v>
      </c>
    </row>
    <row r="34" spans="1:1" ht="16" x14ac:dyDescent="0.2">
      <c r="A34" s="26" t="str">
        <f>IF('Intenions to Adopt- Data Input'!A45="NA","NULL",IF(OR(COUNTIF('Intenions to Adopt- Data Input'!A45:J45, 4),COUNTIF('Intenions to Adopt- Data Input'!A45:J45, 5)),"Yes","No"))</f>
        <v>NULL</v>
      </c>
    </row>
    <row r="35" spans="1:1" ht="16" x14ac:dyDescent="0.2">
      <c r="A35" s="26" t="str">
        <f>IF('Intenions to Adopt- Data Input'!A46="NA","NULL",IF(OR(COUNTIF('Intenions to Adopt- Data Input'!A46:J46, 4),COUNTIF('Intenions to Adopt- Data Input'!A46:J46, 5)),"Yes","No"))</f>
        <v>NULL</v>
      </c>
    </row>
    <row r="36" spans="1:1" ht="16" x14ac:dyDescent="0.2">
      <c r="A36" s="26" t="str">
        <f>IF('Intenions to Adopt- Data Input'!A47="NA","NULL",IF(OR(COUNTIF('Intenions to Adopt- Data Input'!A47:J47, 4),COUNTIF('Intenions to Adopt- Data Input'!A47:J47, 5)),"Yes","No"))</f>
        <v>NULL</v>
      </c>
    </row>
    <row r="37" spans="1:1" ht="16" x14ac:dyDescent="0.2">
      <c r="A37" s="26" t="str">
        <f>IF('Intenions to Adopt- Data Input'!A48="NA","NULL",IF(OR(COUNTIF('Intenions to Adopt- Data Input'!A48:J48, 4),COUNTIF('Intenions to Adopt- Data Input'!A48:J48, 5)),"Yes","No"))</f>
        <v>NULL</v>
      </c>
    </row>
    <row r="38" spans="1:1" ht="16" x14ac:dyDescent="0.2">
      <c r="A38" s="26" t="str">
        <f>IF('Intenions to Adopt- Data Input'!A49="NA","NULL",IF(OR(COUNTIF('Intenions to Adopt- Data Input'!A49:J49, 4),COUNTIF('Intenions to Adopt- Data Input'!A49:J49, 5)),"Yes","No"))</f>
        <v>NULL</v>
      </c>
    </row>
    <row r="39" spans="1:1" ht="16" x14ac:dyDescent="0.2">
      <c r="A39" s="26" t="str">
        <f>IF('Intenions to Adopt- Data Input'!A50="NA","NULL",IF(OR(COUNTIF('Intenions to Adopt- Data Input'!A50:J50, 4),COUNTIF('Intenions to Adopt- Data Input'!A50:J50, 5)),"Yes","No"))</f>
        <v>NULL</v>
      </c>
    </row>
    <row r="40" spans="1:1" ht="16" x14ac:dyDescent="0.2">
      <c r="A40" s="26" t="str">
        <f>IF('Intenions to Adopt- Data Input'!A51="NA","NULL",IF(OR(COUNTIF('Intenions to Adopt- Data Input'!A51:J51, 4),COUNTIF('Intenions to Adopt- Data Input'!A51:J51, 5)),"Yes","No"))</f>
        <v>NULL</v>
      </c>
    </row>
    <row r="41" spans="1:1" ht="16" x14ac:dyDescent="0.2">
      <c r="A41" s="26" t="str">
        <f>IF('Intenions to Adopt- Data Input'!A52="NA","NULL",IF(OR(COUNTIF('Intenions to Adopt- Data Input'!A52:J52, 4),COUNTIF('Intenions to Adopt- Data Input'!A52:J52, 5)),"Yes","No"))</f>
        <v>NULL</v>
      </c>
    </row>
    <row r="42" spans="1:1" ht="16" x14ac:dyDescent="0.2">
      <c r="A42" s="26" t="str">
        <f>IF('Intenions to Adopt- Data Input'!A53="NA","NULL",IF(OR(COUNTIF('Intenions to Adopt- Data Input'!A53:J53, 4),COUNTIF('Intenions to Adopt- Data Input'!A53:J53, 5)),"Yes","No"))</f>
        <v>NULL</v>
      </c>
    </row>
    <row r="43" spans="1:1" ht="16" x14ac:dyDescent="0.2">
      <c r="A43" s="26" t="str">
        <f>IF('Intenions to Adopt- Data Input'!A54="NA","NULL",IF(OR(COUNTIF('Intenions to Adopt- Data Input'!A54:J54, 4),COUNTIF('Intenions to Adopt- Data Input'!A54:J54, 5)),"Yes","No"))</f>
        <v>NULL</v>
      </c>
    </row>
    <row r="44" spans="1:1" ht="16" x14ac:dyDescent="0.2">
      <c r="A44" s="26" t="str">
        <f>IF('Intenions to Adopt- Data Input'!A55="NA","NULL",IF(OR(COUNTIF('Intenions to Adopt- Data Input'!A55:J55, 4),COUNTIF('Intenions to Adopt- Data Input'!A55:J55, 5)),"Yes","No"))</f>
        <v>NULL</v>
      </c>
    </row>
    <row r="45" spans="1:1" ht="16" x14ac:dyDescent="0.2">
      <c r="A45" s="26" t="str">
        <f>IF('Intenions to Adopt- Data Input'!A56="NA","NULL",IF(OR(COUNTIF('Intenions to Adopt- Data Input'!A56:J56, 4),COUNTIF('Intenions to Adopt- Data Input'!A56:J56, 5)),"Yes","No"))</f>
        <v>NULL</v>
      </c>
    </row>
    <row r="46" spans="1:1" ht="16" x14ac:dyDescent="0.2">
      <c r="A46" s="26" t="str">
        <f>IF('Intenions to Adopt- Data Input'!A57="NA","NULL",IF(OR(COUNTIF('Intenions to Adopt- Data Input'!A57:J57, 4),COUNTIF('Intenions to Adopt- Data Input'!A57:J57, 5)),"Yes","No"))</f>
        <v>NULL</v>
      </c>
    </row>
    <row r="47" spans="1:1" ht="16" x14ac:dyDescent="0.2">
      <c r="A47" s="26" t="str">
        <f>IF('Intenions to Adopt- Data Input'!A58="NA","NULL",IF(OR(COUNTIF('Intenions to Adopt- Data Input'!A58:J58, 4),COUNTIF('Intenions to Adopt- Data Input'!A58:J58, 5)),"Yes","No"))</f>
        <v>NULL</v>
      </c>
    </row>
    <row r="48" spans="1:1" ht="16" x14ac:dyDescent="0.2">
      <c r="A48" s="26" t="str">
        <f>IF('Intenions to Adopt- Data Input'!A59="NA","NULL",IF(OR(COUNTIF('Intenions to Adopt- Data Input'!A59:J59, 4),COUNTIF('Intenions to Adopt- Data Input'!A59:J59, 5)),"Yes","No"))</f>
        <v>NULL</v>
      </c>
    </row>
    <row r="49" spans="1:1" ht="16" x14ac:dyDescent="0.2">
      <c r="A49" s="26" t="str">
        <f>IF('Intenions to Adopt- Data Input'!A60="NA","NULL",IF(OR(COUNTIF('Intenions to Adopt- Data Input'!A60:J60, 4),COUNTIF('Intenions to Adopt- Data Input'!A60:J60, 5)),"Yes","No"))</f>
        <v>NULL</v>
      </c>
    </row>
    <row r="50" spans="1:1" ht="16" x14ac:dyDescent="0.2">
      <c r="A50" s="26" t="str">
        <f>IF('Intenions to Adopt- Data Input'!A61="NA","NULL",IF(OR(COUNTIF('Intenions to Adopt- Data Input'!A61:J61, 4),COUNTIF('Intenions to Adopt- Data Input'!A61:J61, 5)),"Yes","No"))</f>
        <v>NULL</v>
      </c>
    </row>
    <row r="51" spans="1:1" ht="16" x14ac:dyDescent="0.2">
      <c r="A51" s="26" t="str">
        <f>IF('Intenions to Adopt- Data Input'!A62="NA","NULL",IF(OR(COUNTIF('Intenions to Adopt- Data Input'!A62:J62, 4),COUNTIF('Intenions to Adopt- Data Input'!A62:J62, 5)),"Yes","No"))</f>
        <v>NULL</v>
      </c>
    </row>
    <row r="52" spans="1:1" ht="16" x14ac:dyDescent="0.2">
      <c r="A52" s="26" t="str">
        <f>IF('Intenions to Adopt- Data Input'!A63="NA","NULL",IF(OR(COUNTIF('Intenions to Adopt- Data Input'!A63:J63, 4),COUNTIF('Intenions to Adopt- Data Input'!A63:J63, 5)),"Yes","No"))</f>
        <v>NULL</v>
      </c>
    </row>
    <row r="53" spans="1:1" ht="16" x14ac:dyDescent="0.2">
      <c r="A53" s="26" t="str">
        <f>IF('Intenions to Adopt- Data Input'!A64="NA","NULL",IF(OR(COUNTIF('Intenions to Adopt- Data Input'!A64:J64, 4),COUNTIF('Intenions to Adopt- Data Input'!A64:J64, 5)),"Yes","No"))</f>
        <v>NULL</v>
      </c>
    </row>
    <row r="54" spans="1:1" ht="16" x14ac:dyDescent="0.2">
      <c r="A54" s="26" t="str">
        <f>IF('Intenions to Adopt- Data Input'!A65="NA","NULL",IF(OR(COUNTIF('Intenions to Adopt- Data Input'!A65:J65, 4),COUNTIF('Intenions to Adopt- Data Input'!A65:J65, 5)),"Yes","No"))</f>
        <v>NULL</v>
      </c>
    </row>
    <row r="55" spans="1:1" ht="16" x14ac:dyDescent="0.2">
      <c r="A55" s="26" t="str">
        <f>IF('Intenions to Adopt- Data Input'!A66="NA","NULL",IF(OR(COUNTIF('Intenions to Adopt- Data Input'!A66:J66, 4),COUNTIF('Intenions to Adopt- Data Input'!A66:J66, 5)),"Yes","No"))</f>
        <v>NULL</v>
      </c>
    </row>
    <row r="56" spans="1:1" ht="16" x14ac:dyDescent="0.2">
      <c r="A56" s="26" t="str">
        <f>IF('Intenions to Adopt- Data Input'!A67="NA","NULL",IF(OR(COUNTIF('Intenions to Adopt- Data Input'!A67:J67, 4),COUNTIF('Intenions to Adopt- Data Input'!A67:J67, 5)),"Yes","No"))</f>
        <v>NULL</v>
      </c>
    </row>
    <row r="57" spans="1:1" ht="16" x14ac:dyDescent="0.2">
      <c r="A57" s="26" t="str">
        <f>IF('Intenions to Adopt- Data Input'!A68="NA","NULL",IF(OR(COUNTIF('Intenions to Adopt- Data Input'!A68:J68, 4),COUNTIF('Intenions to Adopt- Data Input'!A68:J68, 5)),"Yes","No"))</f>
        <v>NULL</v>
      </c>
    </row>
    <row r="58" spans="1:1" ht="16" x14ac:dyDescent="0.2">
      <c r="A58" s="26" t="str">
        <f>IF('Intenions to Adopt- Data Input'!A69="NA","NULL",IF(OR(COUNTIF('Intenions to Adopt- Data Input'!A69:J69, 4),COUNTIF('Intenions to Adopt- Data Input'!A69:J69, 5)),"Yes","No"))</f>
        <v>NULL</v>
      </c>
    </row>
    <row r="59" spans="1:1" ht="16" x14ac:dyDescent="0.2">
      <c r="A59" s="26" t="str">
        <f>IF('Intenions to Adopt- Data Input'!A70="NA","NULL",IF(OR(COUNTIF('Intenions to Adopt- Data Input'!A70:J70, 4),COUNTIF('Intenions to Adopt- Data Input'!A70:J70, 5)),"Yes","No"))</f>
        <v>NULL</v>
      </c>
    </row>
    <row r="60" spans="1:1" ht="16" x14ac:dyDescent="0.2">
      <c r="A60" s="26" t="str">
        <f>IF('Intenions to Adopt- Data Input'!A71="NA","NULL",IF(OR(COUNTIF('Intenions to Adopt- Data Input'!A71:J71, 4),COUNTIF('Intenions to Adopt- Data Input'!A71:J71, 5)),"Yes","No"))</f>
        <v>NULL</v>
      </c>
    </row>
    <row r="61" spans="1:1" ht="16" x14ac:dyDescent="0.2">
      <c r="A61" s="26" t="str">
        <f>IF('Intenions to Adopt- Data Input'!A72="NA","NULL",IF(OR(COUNTIF('Intenions to Adopt- Data Input'!A72:J72, 4),COUNTIF('Intenions to Adopt- Data Input'!A72:J72, 5)),"Yes","No"))</f>
        <v>NULL</v>
      </c>
    </row>
    <row r="62" spans="1:1" ht="16" x14ac:dyDescent="0.2">
      <c r="A62" s="26" t="str">
        <f>IF('Intenions to Adopt- Data Input'!A73="NA","NULL",IF(OR(COUNTIF('Intenions to Adopt- Data Input'!A73:J73, 4),COUNTIF('Intenions to Adopt- Data Input'!A73:J73, 5)),"Yes","No"))</f>
        <v>NULL</v>
      </c>
    </row>
    <row r="63" spans="1:1" ht="16" x14ac:dyDescent="0.2">
      <c r="A63" s="26" t="str">
        <f>IF('Intenions to Adopt- Data Input'!A74="NA","NULL",IF(OR(COUNTIF('Intenions to Adopt- Data Input'!A74:J74, 4),COUNTIF('Intenions to Adopt- Data Input'!A74:J74, 5)),"Yes","No"))</f>
        <v>NULL</v>
      </c>
    </row>
    <row r="64" spans="1:1" ht="16" x14ac:dyDescent="0.2">
      <c r="A64" s="26" t="str">
        <f>IF('Intenions to Adopt- Data Input'!A75="NA","NULL",IF(OR(COUNTIF('Intenions to Adopt- Data Input'!A75:J75, 4),COUNTIF('Intenions to Adopt- Data Input'!A75:J75, 5)),"Yes","No"))</f>
        <v>NULL</v>
      </c>
    </row>
    <row r="65" spans="1:1" ht="16" x14ac:dyDescent="0.2">
      <c r="A65" s="26" t="str">
        <f>IF('Intenions to Adopt- Data Input'!A76="NA","NULL",IF(OR(COUNTIF('Intenions to Adopt- Data Input'!A76:J76, 4),COUNTIF('Intenions to Adopt- Data Input'!A76:J76, 5)),"Yes","No"))</f>
        <v>NULL</v>
      </c>
    </row>
    <row r="66" spans="1:1" ht="16" x14ac:dyDescent="0.2">
      <c r="A66" s="26" t="str">
        <f>IF('Intenions to Adopt- Data Input'!A77="NA","NULL",IF(OR(COUNTIF('Intenions to Adopt- Data Input'!A77:J77, 4),COUNTIF('Intenions to Adopt- Data Input'!A77:J77, 5)),"Yes","No"))</f>
        <v>NULL</v>
      </c>
    </row>
    <row r="67" spans="1:1" ht="16" x14ac:dyDescent="0.2">
      <c r="A67" s="26" t="str">
        <f>IF('Intenions to Adopt- Data Input'!A78="NA","NULL",IF(OR(COUNTIF('Intenions to Adopt- Data Input'!A78:J78, 4),COUNTIF('Intenions to Adopt- Data Input'!A78:J78, 5)),"Yes","No"))</f>
        <v>NULL</v>
      </c>
    </row>
    <row r="68" spans="1:1" ht="16" x14ac:dyDescent="0.2">
      <c r="A68" s="26" t="str">
        <f>IF('Intenions to Adopt- Data Input'!A79="NA","NULL",IF(OR(COUNTIF('Intenions to Adopt- Data Input'!A79:J79, 4),COUNTIF('Intenions to Adopt- Data Input'!A79:J79, 5)),"Yes","No"))</f>
        <v>NULL</v>
      </c>
    </row>
    <row r="69" spans="1:1" ht="16" x14ac:dyDescent="0.2">
      <c r="A69" s="26" t="str">
        <f>IF('Intenions to Adopt- Data Input'!A80="NA","NULL",IF(OR(COUNTIF('Intenions to Adopt- Data Input'!A80:J80, 4),COUNTIF('Intenions to Adopt- Data Input'!A80:J80, 5)),"Yes","No"))</f>
        <v>NULL</v>
      </c>
    </row>
    <row r="70" spans="1:1" ht="16" x14ac:dyDescent="0.2">
      <c r="A70" s="26" t="str">
        <f>IF('Intenions to Adopt- Data Input'!A81="NA","NULL",IF(OR(COUNTIF('Intenions to Adopt- Data Input'!A81:J81, 4),COUNTIF('Intenions to Adopt- Data Input'!A81:J81, 5)),"Yes","No"))</f>
        <v>NULL</v>
      </c>
    </row>
    <row r="71" spans="1:1" ht="16" x14ac:dyDescent="0.2">
      <c r="A71" s="26" t="str">
        <f>IF('Intenions to Adopt- Data Input'!A82="NA","NULL",IF(OR(COUNTIF('Intenions to Adopt- Data Input'!A82:J82, 4),COUNTIF('Intenions to Adopt- Data Input'!A82:J82, 5)),"Yes","No"))</f>
        <v>NULL</v>
      </c>
    </row>
    <row r="72" spans="1:1" ht="16" x14ac:dyDescent="0.2">
      <c r="A72" s="26" t="str">
        <f>IF('Intenions to Adopt- Data Input'!A83="NA","NULL",IF(OR(COUNTIF('Intenions to Adopt- Data Input'!A83:J83, 4),COUNTIF('Intenions to Adopt- Data Input'!A83:J83, 5)),"Yes","No"))</f>
        <v>NULL</v>
      </c>
    </row>
    <row r="73" spans="1:1" ht="16" x14ac:dyDescent="0.2">
      <c r="A73" s="26" t="str">
        <f>IF('Intenions to Adopt- Data Input'!A84="NA","NULL",IF(OR(COUNTIF('Intenions to Adopt- Data Input'!A84:J84, 4),COUNTIF('Intenions to Adopt- Data Input'!A84:J84, 5)),"Yes","No"))</f>
        <v>NULL</v>
      </c>
    </row>
    <row r="74" spans="1:1" ht="16" x14ac:dyDescent="0.2">
      <c r="A74" s="26" t="str">
        <f>IF('Intenions to Adopt- Data Input'!A85="NA","NULL",IF(OR(COUNTIF('Intenions to Adopt- Data Input'!A85:J85, 4),COUNTIF('Intenions to Adopt- Data Input'!A85:J85, 5)),"Yes","No"))</f>
        <v>NULL</v>
      </c>
    </row>
    <row r="75" spans="1:1" ht="16" x14ac:dyDescent="0.2">
      <c r="A75" s="26" t="str">
        <f>IF('Intenions to Adopt- Data Input'!A86="NA","NULL",IF(OR(COUNTIF('Intenions to Adopt- Data Input'!A86:J86, 4),COUNTIF('Intenions to Adopt- Data Input'!A86:J86, 5)),"Yes","No"))</f>
        <v>NULL</v>
      </c>
    </row>
    <row r="76" spans="1:1" ht="16" x14ac:dyDescent="0.2">
      <c r="A76" s="26" t="str">
        <f>IF('Intenions to Adopt- Data Input'!A87="NA","NULL",IF(OR(COUNTIF('Intenions to Adopt- Data Input'!A87:J87, 4),COUNTIF('Intenions to Adopt- Data Input'!A87:J87, 5)),"Yes","No"))</f>
        <v>NULL</v>
      </c>
    </row>
    <row r="77" spans="1:1" ht="16" x14ac:dyDescent="0.2">
      <c r="A77" s="26" t="str">
        <f>IF('Intenions to Adopt- Data Input'!A88="NA","NULL",IF(OR(COUNTIF('Intenions to Adopt- Data Input'!A88:J88, 4),COUNTIF('Intenions to Adopt- Data Input'!A88:J88, 5)),"Yes","No"))</f>
        <v>NULL</v>
      </c>
    </row>
    <row r="78" spans="1:1" ht="16" x14ac:dyDescent="0.2">
      <c r="A78" s="26" t="str">
        <f>IF('Intenions to Adopt- Data Input'!A89="NA","NULL",IF(OR(COUNTIF('Intenions to Adopt- Data Input'!A89:J89, 4),COUNTIF('Intenions to Adopt- Data Input'!A89:J89, 5)),"Yes","No"))</f>
        <v>NULL</v>
      </c>
    </row>
    <row r="79" spans="1:1" ht="16" x14ac:dyDescent="0.2">
      <c r="A79" s="26" t="str">
        <f>IF('Intenions to Adopt- Data Input'!A90="NA","NULL",IF(OR(COUNTIF('Intenions to Adopt- Data Input'!A90:J90, 4),COUNTIF('Intenions to Adopt- Data Input'!A90:J90, 5)),"Yes","No"))</f>
        <v>NULL</v>
      </c>
    </row>
    <row r="80" spans="1:1" ht="16" x14ac:dyDescent="0.2">
      <c r="A80" s="26" t="str">
        <f>IF('Intenions to Adopt- Data Input'!A91="NA","NULL",IF(OR(COUNTIF('Intenions to Adopt- Data Input'!A91:J91, 4),COUNTIF('Intenions to Adopt- Data Input'!A91:J91, 5)),"Yes","No"))</f>
        <v>NULL</v>
      </c>
    </row>
    <row r="81" spans="1:1" ht="16" x14ac:dyDescent="0.2">
      <c r="A81" s="26" t="str">
        <f>IF('Intenions to Adopt- Data Input'!A92="NA","NULL",IF(OR(COUNTIF('Intenions to Adopt- Data Input'!A92:J92, 4),COUNTIF('Intenions to Adopt- Data Input'!A92:J92, 5)),"Yes","No"))</f>
        <v>NULL</v>
      </c>
    </row>
    <row r="82" spans="1:1" ht="16" x14ac:dyDescent="0.2">
      <c r="A82" s="26" t="str">
        <f>IF('Intenions to Adopt- Data Input'!A93="NA","NULL",IF(OR(COUNTIF('Intenions to Adopt- Data Input'!A93:J93, 4),COUNTIF('Intenions to Adopt- Data Input'!A93:J93, 5)),"Yes","No"))</f>
        <v>NULL</v>
      </c>
    </row>
    <row r="83" spans="1:1" ht="16" x14ac:dyDescent="0.2">
      <c r="A83" s="26" t="str">
        <f>IF('Intenions to Adopt- Data Input'!A94="NA","NULL",IF(OR(COUNTIF('Intenions to Adopt- Data Input'!A94:J94, 4),COUNTIF('Intenions to Adopt- Data Input'!A94:J94, 5)),"Yes","No"))</f>
        <v>NULL</v>
      </c>
    </row>
    <row r="84" spans="1:1" ht="16" x14ac:dyDescent="0.2">
      <c r="A84" s="26" t="str">
        <f>IF('Intenions to Adopt- Data Input'!A95="NA","NULL",IF(OR(COUNTIF('Intenions to Adopt- Data Input'!A95:J95, 4),COUNTIF('Intenions to Adopt- Data Input'!A95:J95, 5)),"Yes","No"))</f>
        <v>NULL</v>
      </c>
    </row>
    <row r="85" spans="1:1" ht="16" x14ac:dyDescent="0.2">
      <c r="A85" s="26" t="str">
        <f>IF('Intenions to Adopt- Data Input'!A96="NA","NULL",IF(OR(COUNTIF('Intenions to Adopt- Data Input'!A96:J96, 4),COUNTIF('Intenions to Adopt- Data Input'!A96:J96, 5)),"Yes","No"))</f>
        <v>NULL</v>
      </c>
    </row>
    <row r="86" spans="1:1" ht="16" x14ac:dyDescent="0.2">
      <c r="A86" s="26" t="str">
        <f>IF('Intenions to Adopt- Data Input'!A97="NA","NULL",IF(OR(COUNTIF('Intenions to Adopt- Data Input'!A97:J97, 4),COUNTIF('Intenions to Adopt- Data Input'!A97:J97, 5)),"Yes","No"))</f>
        <v>NULL</v>
      </c>
    </row>
    <row r="87" spans="1:1" ht="16" x14ac:dyDescent="0.2">
      <c r="A87" s="26" t="str">
        <f>IF('Intenions to Adopt- Data Input'!A98="NA","NULL",IF(OR(COUNTIF('Intenions to Adopt- Data Input'!A98:J98, 4),COUNTIF('Intenions to Adopt- Data Input'!A98:J98, 5)),"Yes","No"))</f>
        <v>NULL</v>
      </c>
    </row>
    <row r="88" spans="1:1" ht="16" x14ac:dyDescent="0.2">
      <c r="A88" s="26" t="str">
        <f>IF('Intenions to Adopt- Data Input'!A99="NA","NULL",IF(OR(COUNTIF('Intenions to Adopt- Data Input'!A99:J99, 4),COUNTIF('Intenions to Adopt- Data Input'!A99:J99, 5)),"Yes","No"))</f>
        <v>NULL</v>
      </c>
    </row>
    <row r="89" spans="1:1" ht="16" x14ac:dyDescent="0.2">
      <c r="A89" s="26" t="str">
        <f>IF('Intenions to Adopt- Data Input'!A100="NA","NULL",IF(OR(COUNTIF('Intenions to Adopt- Data Input'!A100:J100, 4),COUNTIF('Intenions to Adopt- Data Input'!A100:J100, 5)),"Yes","No"))</f>
        <v>NULL</v>
      </c>
    </row>
    <row r="90" spans="1:1" ht="16" x14ac:dyDescent="0.2">
      <c r="A90" s="26" t="str">
        <f>IF('Intenions to Adopt- Data Input'!A101="NA","NULL",IF(OR(COUNTIF('Intenions to Adopt- Data Input'!A101:J101, 4),COUNTIF('Intenions to Adopt- Data Input'!A101:J101, 5)),"Yes","No"))</f>
        <v>NULL</v>
      </c>
    </row>
    <row r="91" spans="1:1" ht="16" x14ac:dyDescent="0.2">
      <c r="A91" s="26" t="str">
        <f>IF('Intenions to Adopt- Data Input'!A102="NA","NULL",IF(OR(COUNTIF('Intenions to Adopt- Data Input'!A102:J102, 4),COUNTIF('Intenions to Adopt- Data Input'!A102:J102, 5)),"Yes","No"))</f>
        <v>NULL</v>
      </c>
    </row>
    <row r="92" spans="1:1" ht="16" x14ac:dyDescent="0.2">
      <c r="A92" s="26" t="str">
        <f>IF('Intenions to Adopt- Data Input'!A103="NA","NULL",IF(OR(COUNTIF('Intenions to Adopt- Data Input'!A103:J103, 4),COUNTIF('Intenions to Adopt- Data Input'!A103:J103, 5)),"Yes","No"))</f>
        <v>NULL</v>
      </c>
    </row>
    <row r="93" spans="1:1" ht="16" x14ac:dyDescent="0.2">
      <c r="A93" s="26" t="str">
        <f>IF('Intenions to Adopt- Data Input'!A104="NA","NULL",IF(OR(COUNTIF('Intenions to Adopt- Data Input'!A104:J104, 4),COUNTIF('Intenions to Adopt- Data Input'!A104:J104, 5)),"Yes","No"))</f>
        <v>NULL</v>
      </c>
    </row>
    <row r="94" spans="1:1" ht="16" x14ac:dyDescent="0.2">
      <c r="A94" s="26" t="str">
        <f>IF('Intenions to Adopt- Data Input'!A105="NA","NULL",IF(OR(COUNTIF('Intenions to Adopt- Data Input'!A105:J105, 4),COUNTIF('Intenions to Adopt- Data Input'!A105:J105, 5)),"Yes","No"))</f>
        <v>NULL</v>
      </c>
    </row>
    <row r="95" spans="1:1" ht="16" x14ac:dyDescent="0.2">
      <c r="A95" s="26" t="str">
        <f>IF('Intenions to Adopt- Data Input'!A106="NA","NULL",IF(OR(COUNTIF('Intenions to Adopt- Data Input'!A106:J106, 4),COUNTIF('Intenions to Adopt- Data Input'!A106:J106, 5)),"Yes","No"))</f>
        <v>NULL</v>
      </c>
    </row>
    <row r="96" spans="1:1" ht="16" x14ac:dyDescent="0.2">
      <c r="A96" s="26" t="str">
        <f>IF('Intenions to Adopt- Data Input'!A107="NA","NULL",IF(OR(COUNTIF('Intenions to Adopt- Data Input'!A107:J107, 4),COUNTIF('Intenions to Adopt- Data Input'!A107:J107, 5)),"Yes","No"))</f>
        <v>NULL</v>
      </c>
    </row>
    <row r="97" spans="1:1" ht="16" x14ac:dyDescent="0.2">
      <c r="A97" s="26" t="str">
        <f>IF('Intenions to Adopt- Data Input'!A108="NA","NULL",IF(OR(COUNTIF('Intenions to Adopt- Data Input'!A108:J108, 4),COUNTIF('Intenions to Adopt- Data Input'!A108:J108, 5)),"Yes","No"))</f>
        <v>NULL</v>
      </c>
    </row>
    <row r="98" spans="1:1" ht="16" x14ac:dyDescent="0.2">
      <c r="A98" s="26" t="str">
        <f>IF('Intenions to Adopt- Data Input'!A109="NA","NULL",IF(OR(COUNTIF('Intenions to Adopt- Data Input'!A109:J109, 4),COUNTIF('Intenions to Adopt- Data Input'!A109:J109, 5)),"Yes","No"))</f>
        <v>NULL</v>
      </c>
    </row>
    <row r="99" spans="1:1" ht="16" x14ac:dyDescent="0.2">
      <c r="A99" s="26" t="str">
        <f>IF('Intenions to Adopt- Data Input'!A110="NA","NULL",IF(OR(COUNTIF('Intenions to Adopt- Data Input'!A110:J110, 4),COUNTIF('Intenions to Adopt- Data Input'!A110:J110, 5)),"Yes","No"))</f>
        <v>NULL</v>
      </c>
    </row>
    <row r="100" spans="1:1" ht="16" x14ac:dyDescent="0.2">
      <c r="A100" s="26" t="str">
        <f>IF('Intenions to Adopt- Data Input'!A111="NA","NULL",IF(OR(COUNTIF('Intenions to Adopt- Data Input'!A111:J111, 4),COUNTIF('Intenions to Adopt- Data Input'!A111:J111, 5)),"Yes","No"))</f>
        <v>NULL</v>
      </c>
    </row>
  </sheetData>
  <sheetProtection algorithmName="SHA-512" hashValue="XZfKQI++DZyz1uJw9CQ4OBquOteKDAFOq8UhF6sBdL1a1tioS1GcmFqQQBNaSR2B6pH1cgk2CKAMJgDxOs7gFw==" saltValue="wRUG1AbHh90qqvqedmoo5Q==" spinCount="100000" sheet="1" objects="1" scenarios="1"/>
  <mergeCells count="10">
    <mergeCell ref="C18:F18"/>
    <mergeCell ref="C19:D19"/>
    <mergeCell ref="C20:D21"/>
    <mergeCell ref="E20:E21"/>
    <mergeCell ref="F20:F21"/>
    <mergeCell ref="C2:C3"/>
    <mergeCell ref="D2:D3"/>
    <mergeCell ref="E2:E3"/>
    <mergeCell ref="F2:F3"/>
    <mergeCell ref="C1:F1"/>
  </mergeCells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624BAC-CB19-C24B-9CCB-9861B1DB4564}">
  <dimension ref="A1:BQ12"/>
  <sheetViews>
    <sheetView zoomScale="120" zoomScaleNormal="120" workbookViewId="0">
      <selection activeCell="C3" sqref="C3"/>
    </sheetView>
  </sheetViews>
  <sheetFormatPr baseColWidth="10" defaultColWidth="11.5" defaultRowHeight="15" x14ac:dyDescent="0.2"/>
  <cols>
    <col min="2" max="2" width="17.83203125" customWidth="1"/>
    <col min="6" max="6" width="20.83203125" customWidth="1"/>
    <col min="9" max="9" width="17.83203125" customWidth="1"/>
    <col min="13" max="13" width="20.83203125" customWidth="1"/>
    <col min="16" max="16" width="17.83203125" customWidth="1"/>
    <col min="20" max="20" width="20.83203125" customWidth="1"/>
    <col min="23" max="23" width="17.83203125" customWidth="1"/>
    <col min="27" max="27" width="20.83203125" customWidth="1"/>
    <col min="30" max="30" width="17.83203125" customWidth="1"/>
    <col min="34" max="34" width="20.83203125" customWidth="1"/>
    <col min="37" max="37" width="17.83203125" customWidth="1"/>
    <col min="41" max="41" width="20.83203125" customWidth="1"/>
    <col min="44" max="44" width="17.83203125" customWidth="1"/>
    <col min="48" max="48" width="20.83203125" customWidth="1"/>
    <col min="51" max="51" width="17.83203125" customWidth="1"/>
    <col min="55" max="55" width="20.83203125" customWidth="1"/>
    <col min="58" max="58" width="17.83203125" customWidth="1"/>
    <col min="62" max="62" width="20.83203125" customWidth="1"/>
    <col min="65" max="65" width="17.83203125" customWidth="1"/>
    <col min="69" max="69" width="20.83203125" customWidth="1"/>
  </cols>
  <sheetData>
    <row r="1" spans="1:69" ht="19" x14ac:dyDescent="0.25">
      <c r="A1" s="148" t="s">
        <v>108</v>
      </c>
      <c r="B1" s="148"/>
      <c r="C1" s="148"/>
      <c r="D1" s="148"/>
      <c r="E1" s="148"/>
      <c r="F1" s="148"/>
      <c r="H1" s="145" t="s">
        <v>109</v>
      </c>
      <c r="I1" s="145"/>
      <c r="J1" s="145"/>
      <c r="K1" s="145"/>
      <c r="L1" s="145"/>
      <c r="M1" s="145"/>
      <c r="O1" s="140" t="s">
        <v>110</v>
      </c>
      <c r="P1" s="140"/>
      <c r="Q1" s="140"/>
      <c r="R1" s="140"/>
      <c r="S1" s="140"/>
      <c r="T1" s="140"/>
      <c r="V1" s="143" t="s">
        <v>111</v>
      </c>
      <c r="W1" s="143"/>
      <c r="X1" s="143"/>
      <c r="Y1" s="143"/>
      <c r="Z1" s="143"/>
      <c r="AA1" s="143"/>
      <c r="AC1" s="147" t="s">
        <v>112</v>
      </c>
      <c r="AD1" s="147"/>
      <c r="AE1" s="147"/>
      <c r="AF1" s="147"/>
      <c r="AG1" s="147"/>
      <c r="AH1" s="147"/>
      <c r="AJ1" s="146" t="s">
        <v>113</v>
      </c>
      <c r="AK1" s="146"/>
      <c r="AL1" s="146"/>
      <c r="AM1" s="146"/>
      <c r="AN1" s="146"/>
      <c r="AO1" s="146"/>
      <c r="AQ1" s="144" t="s">
        <v>135</v>
      </c>
      <c r="AR1" s="144"/>
      <c r="AS1" s="144"/>
      <c r="AT1" s="144"/>
      <c r="AU1" s="144"/>
      <c r="AV1" s="144"/>
      <c r="AX1" s="145" t="s">
        <v>136</v>
      </c>
      <c r="AY1" s="145"/>
      <c r="AZ1" s="145"/>
      <c r="BA1" s="145"/>
      <c r="BB1" s="145"/>
      <c r="BC1" s="145"/>
      <c r="BE1" s="140" t="s">
        <v>137</v>
      </c>
      <c r="BF1" s="140"/>
      <c r="BG1" s="140"/>
      <c r="BH1" s="140"/>
      <c r="BI1" s="140"/>
      <c r="BJ1" s="140"/>
      <c r="BL1" s="143" t="s">
        <v>138</v>
      </c>
      <c r="BM1" s="143"/>
      <c r="BN1" s="143"/>
      <c r="BO1" s="143"/>
      <c r="BP1" s="143"/>
      <c r="BQ1" s="143"/>
    </row>
    <row r="2" spans="1:69" x14ac:dyDescent="0.2">
      <c r="A2" s="141"/>
      <c r="B2" s="141"/>
      <c r="C2" s="83" t="s">
        <v>49</v>
      </c>
      <c r="D2" s="83" t="s">
        <v>64</v>
      </c>
      <c r="E2" s="83" t="s">
        <v>50</v>
      </c>
      <c r="F2" s="83" t="s">
        <v>51</v>
      </c>
      <c r="H2" s="141"/>
      <c r="I2" s="141"/>
      <c r="J2" s="83" t="s">
        <v>49</v>
      </c>
      <c r="K2" s="83" t="s">
        <v>64</v>
      </c>
      <c r="L2" s="83" t="s">
        <v>50</v>
      </c>
      <c r="M2" s="83" t="s">
        <v>51</v>
      </c>
      <c r="O2" s="141"/>
      <c r="P2" s="141"/>
      <c r="Q2" s="83" t="s">
        <v>49</v>
      </c>
      <c r="R2" s="83" t="s">
        <v>64</v>
      </c>
      <c r="S2" s="83" t="s">
        <v>50</v>
      </c>
      <c r="T2" s="83" t="s">
        <v>51</v>
      </c>
      <c r="V2" s="141"/>
      <c r="W2" s="141"/>
      <c r="X2" s="83" t="s">
        <v>49</v>
      </c>
      <c r="Y2" s="83" t="s">
        <v>64</v>
      </c>
      <c r="Z2" s="83" t="s">
        <v>50</v>
      </c>
      <c r="AA2" s="83" t="s">
        <v>51</v>
      </c>
      <c r="AC2" s="141"/>
      <c r="AD2" s="141"/>
      <c r="AE2" s="83" t="s">
        <v>49</v>
      </c>
      <c r="AF2" s="83" t="s">
        <v>64</v>
      </c>
      <c r="AG2" s="83" t="s">
        <v>50</v>
      </c>
      <c r="AH2" s="83" t="s">
        <v>51</v>
      </c>
      <c r="AJ2" s="141"/>
      <c r="AK2" s="141"/>
      <c r="AL2" s="83" t="s">
        <v>49</v>
      </c>
      <c r="AM2" s="83" t="s">
        <v>64</v>
      </c>
      <c r="AN2" s="83" t="s">
        <v>50</v>
      </c>
      <c r="AO2" s="83" t="s">
        <v>51</v>
      </c>
      <c r="AQ2" s="141"/>
      <c r="AR2" s="141"/>
      <c r="AS2" s="83" t="s">
        <v>49</v>
      </c>
      <c r="AT2" s="83" t="s">
        <v>64</v>
      </c>
      <c r="AU2" s="83" t="s">
        <v>50</v>
      </c>
      <c r="AV2" s="83" t="s">
        <v>51</v>
      </c>
      <c r="AX2" s="141"/>
      <c r="AY2" s="141"/>
      <c r="AZ2" s="83" t="s">
        <v>49</v>
      </c>
      <c r="BA2" s="83" t="s">
        <v>64</v>
      </c>
      <c r="BB2" s="83" t="s">
        <v>50</v>
      </c>
      <c r="BC2" s="83" t="s">
        <v>51</v>
      </c>
      <c r="BE2" s="141"/>
      <c r="BF2" s="141"/>
      <c r="BG2" s="83" t="s">
        <v>49</v>
      </c>
      <c r="BH2" s="83" t="s">
        <v>64</v>
      </c>
      <c r="BI2" s="83" t="s">
        <v>50</v>
      </c>
      <c r="BJ2" s="83" t="s">
        <v>51</v>
      </c>
      <c r="BL2" s="141"/>
      <c r="BM2" s="141"/>
      <c r="BN2" s="83" t="s">
        <v>49</v>
      </c>
      <c r="BO2" s="83" t="s">
        <v>64</v>
      </c>
      <c r="BP2" s="83" t="s">
        <v>50</v>
      </c>
      <c r="BQ2" s="83" t="s">
        <v>51</v>
      </c>
    </row>
    <row r="3" spans="1:69" x14ac:dyDescent="0.2">
      <c r="A3" s="151" t="s">
        <v>65</v>
      </c>
      <c r="B3" s="51" t="s">
        <v>90</v>
      </c>
      <c r="C3" s="51">
        <f>COUNTIF(Table229[Item 2A], 5)</f>
        <v>0</v>
      </c>
      <c r="D3" s="67" t="e">
        <f>C3/C12</f>
        <v>#DIV/0!</v>
      </c>
      <c r="E3" s="70" t="e">
        <f>C3/C8</f>
        <v>#DIV/0!</v>
      </c>
      <c r="F3" s="82" t="e">
        <f>E3</f>
        <v>#DIV/0!</v>
      </c>
      <c r="H3" s="142" t="s">
        <v>65</v>
      </c>
      <c r="I3" s="75" t="s">
        <v>90</v>
      </c>
      <c r="J3" s="81">
        <f>COUNTIF(Table2430[Item 2B], 5)</f>
        <v>0</v>
      </c>
      <c r="K3" s="72" t="e">
        <f>J3/J12</f>
        <v>#DIV/0!</v>
      </c>
      <c r="L3" s="74" t="e">
        <f>J3/J8</f>
        <v>#DIV/0!</v>
      </c>
      <c r="M3" s="72" t="e">
        <f>L3</f>
        <v>#DIV/0!</v>
      </c>
      <c r="O3" s="142" t="s">
        <v>65</v>
      </c>
      <c r="P3" s="75" t="s">
        <v>90</v>
      </c>
      <c r="Q3" s="75">
        <f>COUNTIF(Table2531[Item 2C], 5)</f>
        <v>0</v>
      </c>
      <c r="R3" s="72" t="e">
        <f>Q3/Q12</f>
        <v>#DIV/0!</v>
      </c>
      <c r="S3" s="74" t="e">
        <f>Q3/Q8</f>
        <v>#DIV/0!</v>
      </c>
      <c r="T3" s="72" t="e">
        <f>S3</f>
        <v>#DIV/0!</v>
      </c>
      <c r="V3" s="142" t="s">
        <v>65</v>
      </c>
      <c r="W3" s="75" t="s">
        <v>90</v>
      </c>
      <c r="X3" s="75">
        <f>COUNTIF(Table2632[Item 2D], 5)</f>
        <v>0</v>
      </c>
      <c r="Y3" s="84" t="e">
        <f>X3/X12</f>
        <v>#DIV/0!</v>
      </c>
      <c r="Z3" s="74" t="e">
        <f>X3/X8</f>
        <v>#DIV/0!</v>
      </c>
      <c r="AA3" s="72" t="e">
        <f>Z3</f>
        <v>#DIV/0!</v>
      </c>
      <c r="AC3" s="142" t="s">
        <v>65</v>
      </c>
      <c r="AD3" s="75" t="s">
        <v>90</v>
      </c>
      <c r="AE3" s="75">
        <f>COUNTIF(Table2733[Item 2E], 5)</f>
        <v>0</v>
      </c>
      <c r="AF3" s="72" t="e">
        <f>AE3/AE12</f>
        <v>#DIV/0!</v>
      </c>
      <c r="AG3" s="74" t="e">
        <f>AE3/AE8</f>
        <v>#DIV/0!</v>
      </c>
      <c r="AH3" s="72" t="e">
        <f>AG3</f>
        <v>#DIV/0!</v>
      </c>
      <c r="AJ3" s="142" t="s">
        <v>65</v>
      </c>
      <c r="AK3" s="75" t="s">
        <v>90</v>
      </c>
      <c r="AL3" s="75">
        <f>COUNTIF(Table27834[Item 2F], 5)</f>
        <v>0</v>
      </c>
      <c r="AM3" s="72" t="e">
        <f>AL3/AL12</f>
        <v>#DIV/0!</v>
      </c>
      <c r="AN3" s="74" t="e">
        <f>AL3/AL8</f>
        <v>#DIV/0!</v>
      </c>
      <c r="AO3" s="72" t="e">
        <f>AN3</f>
        <v>#DIV/0!</v>
      </c>
      <c r="AQ3" s="142" t="s">
        <v>65</v>
      </c>
      <c r="AR3" s="75" t="s">
        <v>90</v>
      </c>
      <c r="AS3" s="75">
        <f>COUNTIF(Table2783425[Item 2G], 5)</f>
        <v>0</v>
      </c>
      <c r="AT3" s="72" t="e">
        <f>AS3/AS12</f>
        <v>#DIV/0!</v>
      </c>
      <c r="AU3" s="74" t="e">
        <f>AS3/AS8</f>
        <v>#DIV/0!</v>
      </c>
      <c r="AV3" s="72" t="e">
        <f>AU3</f>
        <v>#DIV/0!</v>
      </c>
      <c r="AX3" s="142" t="s">
        <v>65</v>
      </c>
      <c r="AY3" s="75" t="s">
        <v>90</v>
      </c>
      <c r="AZ3" s="75">
        <f>COUNTIF(Table278342526[Item 2H],5)</f>
        <v>0</v>
      </c>
      <c r="BA3" s="72" t="e">
        <f>AZ3/AZ12</f>
        <v>#DIV/0!</v>
      </c>
      <c r="BB3" s="74" t="e">
        <f>AZ3/AZ8</f>
        <v>#DIV/0!</v>
      </c>
      <c r="BC3" s="72" t="e">
        <f>BB3</f>
        <v>#DIV/0!</v>
      </c>
      <c r="BE3" s="142" t="s">
        <v>65</v>
      </c>
      <c r="BF3" s="75" t="s">
        <v>90</v>
      </c>
      <c r="BG3" s="75">
        <f>COUNTIF(Table27834252627[Item 2I], 5)</f>
        <v>0</v>
      </c>
      <c r="BH3" s="72" t="e">
        <f>BG3/BG12</f>
        <v>#DIV/0!</v>
      </c>
      <c r="BI3" s="74" t="e">
        <f>BG3/BG8</f>
        <v>#DIV/0!</v>
      </c>
      <c r="BJ3" s="72" t="e">
        <f>BI3</f>
        <v>#DIV/0!</v>
      </c>
      <c r="BL3" s="142" t="s">
        <v>65</v>
      </c>
      <c r="BM3" s="75" t="s">
        <v>90</v>
      </c>
      <c r="BN3" s="75">
        <f>COUNTIF(Table2783425262728[Item 2I],5)</f>
        <v>0</v>
      </c>
      <c r="BO3" s="72" t="e">
        <f>BN3/BN12</f>
        <v>#DIV/0!</v>
      </c>
      <c r="BP3" s="74" t="e">
        <f>BN3/BN8</f>
        <v>#DIV/0!</v>
      </c>
      <c r="BQ3" s="72" t="e">
        <f>BP3</f>
        <v>#DIV/0!</v>
      </c>
    </row>
    <row r="4" spans="1:69" x14ac:dyDescent="0.2">
      <c r="A4" s="152"/>
      <c r="B4" s="49" t="s">
        <v>89</v>
      </c>
      <c r="C4" s="49">
        <f>COUNTIF(Table229[Item 2A], 4)</f>
        <v>0</v>
      </c>
      <c r="D4" s="69" t="e">
        <f>C4/C12</f>
        <v>#DIV/0!</v>
      </c>
      <c r="E4" s="71" t="e">
        <f>C4/C8</f>
        <v>#DIV/0!</v>
      </c>
      <c r="F4" s="72" t="e">
        <f>F3+E4</f>
        <v>#DIV/0!</v>
      </c>
      <c r="H4" s="142"/>
      <c r="I4" s="75" t="s">
        <v>89</v>
      </c>
      <c r="J4" s="81">
        <f>COUNTIF(Table2430[Item 2B], 4)</f>
        <v>0</v>
      </c>
      <c r="K4" s="72" t="e">
        <f>J4/J12</f>
        <v>#DIV/0!</v>
      </c>
      <c r="L4" s="74" t="e">
        <f>J4/J8</f>
        <v>#DIV/0!</v>
      </c>
      <c r="M4" s="72" t="e">
        <f>M3+L4</f>
        <v>#DIV/0!</v>
      </c>
      <c r="O4" s="142"/>
      <c r="P4" s="75" t="s">
        <v>89</v>
      </c>
      <c r="Q4" s="75">
        <f>COUNTIF(Table2531[Item 2C], 4)</f>
        <v>0</v>
      </c>
      <c r="R4" s="72" t="e">
        <f>Q4/Q12</f>
        <v>#DIV/0!</v>
      </c>
      <c r="S4" s="74" t="e">
        <f>Q4/Q8</f>
        <v>#DIV/0!</v>
      </c>
      <c r="T4" s="72" t="e">
        <f>T3+S4</f>
        <v>#DIV/0!</v>
      </c>
      <c r="V4" s="142"/>
      <c r="W4" s="75" t="s">
        <v>89</v>
      </c>
      <c r="X4" s="75">
        <f>COUNTIF(Table2632[Item 2D], 4)</f>
        <v>0</v>
      </c>
      <c r="Y4" s="84" t="e">
        <f>X4/X12</f>
        <v>#DIV/0!</v>
      </c>
      <c r="Z4" s="74" t="e">
        <f>X4/X8</f>
        <v>#DIV/0!</v>
      </c>
      <c r="AA4" s="72" t="e">
        <f>AA3+Z4</f>
        <v>#DIV/0!</v>
      </c>
      <c r="AC4" s="142"/>
      <c r="AD4" s="75" t="s">
        <v>89</v>
      </c>
      <c r="AE4" s="75">
        <f>COUNTIF(Table2733[Item 2E], 4)</f>
        <v>0</v>
      </c>
      <c r="AF4" s="72" t="e">
        <f>AE4/AE12</f>
        <v>#DIV/0!</v>
      </c>
      <c r="AG4" s="74" t="e">
        <f>AE4/AE8</f>
        <v>#DIV/0!</v>
      </c>
      <c r="AH4" s="72" t="e">
        <f>AH3+AG4</f>
        <v>#DIV/0!</v>
      </c>
      <c r="AJ4" s="142"/>
      <c r="AK4" s="75" t="s">
        <v>89</v>
      </c>
      <c r="AL4" s="75">
        <f>COUNTIF(Table27834[Item 2F], 4)</f>
        <v>0</v>
      </c>
      <c r="AM4" s="72" t="e">
        <f>AL4/AL12</f>
        <v>#DIV/0!</v>
      </c>
      <c r="AN4" s="74" t="e">
        <f>AL4/AL8</f>
        <v>#DIV/0!</v>
      </c>
      <c r="AO4" s="72" t="e">
        <f>AO3+AN4</f>
        <v>#DIV/0!</v>
      </c>
      <c r="AQ4" s="142"/>
      <c r="AR4" s="75" t="s">
        <v>89</v>
      </c>
      <c r="AS4" s="75">
        <f>COUNTIF(Table2783425[Item 2G], 4)</f>
        <v>0</v>
      </c>
      <c r="AT4" s="72" t="e">
        <f>AS4/AS12</f>
        <v>#DIV/0!</v>
      </c>
      <c r="AU4" s="74" t="e">
        <f>AS4/AS8</f>
        <v>#DIV/0!</v>
      </c>
      <c r="AV4" s="72" t="e">
        <f>AV3+AU4</f>
        <v>#DIV/0!</v>
      </c>
      <c r="AX4" s="142"/>
      <c r="AY4" s="75" t="s">
        <v>89</v>
      </c>
      <c r="AZ4" s="75">
        <f>COUNTIF(Table278342526[Item 2H],4)</f>
        <v>0</v>
      </c>
      <c r="BA4" s="72" t="e">
        <f>AZ4/AZ12</f>
        <v>#DIV/0!</v>
      </c>
      <c r="BB4" s="74" t="e">
        <f>AZ4/AZ8</f>
        <v>#DIV/0!</v>
      </c>
      <c r="BC4" s="72" t="e">
        <f>BC3+BB4</f>
        <v>#DIV/0!</v>
      </c>
      <c r="BE4" s="142"/>
      <c r="BF4" s="75" t="s">
        <v>89</v>
      </c>
      <c r="BG4" s="75">
        <f>COUNTIF(Table27834252627[Item 2I], 4)</f>
        <v>0</v>
      </c>
      <c r="BH4" s="72" t="e">
        <f>BG4/BG12</f>
        <v>#DIV/0!</v>
      </c>
      <c r="BI4" s="74" t="e">
        <f>BG4/BG8</f>
        <v>#DIV/0!</v>
      </c>
      <c r="BJ4" s="72" t="e">
        <f>BJ3+BI4</f>
        <v>#DIV/0!</v>
      </c>
      <c r="BL4" s="142"/>
      <c r="BM4" s="75" t="s">
        <v>89</v>
      </c>
      <c r="BN4" s="75">
        <f>COUNTIF(Table2783425262728[Item 2I],4)</f>
        <v>0</v>
      </c>
      <c r="BO4" s="72" t="e">
        <f>BN4/BN12</f>
        <v>#DIV/0!</v>
      </c>
      <c r="BP4" s="74" t="e">
        <f>BN4/BN8</f>
        <v>#DIV/0!</v>
      </c>
      <c r="BQ4" s="72" t="e">
        <f>BQ3+BP4</f>
        <v>#DIV/0!</v>
      </c>
    </row>
    <row r="5" spans="1:69" x14ac:dyDescent="0.2">
      <c r="A5" s="152"/>
      <c r="B5" s="49" t="s">
        <v>88</v>
      </c>
      <c r="C5" s="49">
        <f>COUNTIF(Table229[Item 2A], 3)</f>
        <v>0</v>
      </c>
      <c r="D5" s="69" t="e">
        <f>C5/C12</f>
        <v>#DIV/0!</v>
      </c>
      <c r="E5" s="71" t="e">
        <f>C5/C8</f>
        <v>#DIV/0!</v>
      </c>
      <c r="F5" s="72" t="e">
        <f>F4+E5</f>
        <v>#DIV/0!</v>
      </c>
      <c r="H5" s="142"/>
      <c r="I5" s="75" t="s">
        <v>88</v>
      </c>
      <c r="J5" s="81">
        <f>COUNTIF(Table2430[Item 2B], 3)</f>
        <v>0</v>
      </c>
      <c r="K5" s="72" t="e">
        <f>J5/J12</f>
        <v>#DIV/0!</v>
      </c>
      <c r="L5" s="74" t="e">
        <f>J5/J8</f>
        <v>#DIV/0!</v>
      </c>
      <c r="M5" s="72" t="e">
        <f>M4+L5</f>
        <v>#DIV/0!</v>
      </c>
      <c r="O5" s="142"/>
      <c r="P5" s="75" t="s">
        <v>88</v>
      </c>
      <c r="Q5" s="75">
        <f>COUNTIF(Table2531[Item 2C], 3)</f>
        <v>0</v>
      </c>
      <c r="R5" s="72" t="e">
        <f>Q5/Q12</f>
        <v>#DIV/0!</v>
      </c>
      <c r="S5" s="74" t="e">
        <f>Q5/Q8</f>
        <v>#DIV/0!</v>
      </c>
      <c r="T5" s="72" t="e">
        <f>T4+S5</f>
        <v>#DIV/0!</v>
      </c>
      <c r="V5" s="142"/>
      <c r="W5" s="75" t="s">
        <v>88</v>
      </c>
      <c r="X5" s="75">
        <f>COUNTIF(Table2632[Item 2D], 3)</f>
        <v>0</v>
      </c>
      <c r="Y5" s="84" t="e">
        <f>X5/X12</f>
        <v>#DIV/0!</v>
      </c>
      <c r="Z5" s="74" t="e">
        <f>X5/X8</f>
        <v>#DIV/0!</v>
      </c>
      <c r="AA5" s="72" t="e">
        <f>AA4+Z5</f>
        <v>#DIV/0!</v>
      </c>
      <c r="AC5" s="142"/>
      <c r="AD5" s="75" t="s">
        <v>88</v>
      </c>
      <c r="AE5" s="75">
        <f>COUNTIF(Table2733[Item 2E], 3)</f>
        <v>0</v>
      </c>
      <c r="AF5" s="72" t="e">
        <f>AE5/AE12</f>
        <v>#DIV/0!</v>
      </c>
      <c r="AG5" s="74" t="e">
        <f>AE5/AE8</f>
        <v>#DIV/0!</v>
      </c>
      <c r="AH5" s="72" t="e">
        <f>AH4+AG5</f>
        <v>#DIV/0!</v>
      </c>
      <c r="AJ5" s="142"/>
      <c r="AK5" s="75" t="s">
        <v>88</v>
      </c>
      <c r="AL5" s="75">
        <f>COUNTIF(Table27834[Item 2F], 3)</f>
        <v>0</v>
      </c>
      <c r="AM5" s="72" t="e">
        <f>AL5/AL12</f>
        <v>#DIV/0!</v>
      </c>
      <c r="AN5" s="74" t="e">
        <f>AL5/AL8</f>
        <v>#DIV/0!</v>
      </c>
      <c r="AO5" s="72" t="e">
        <f>AO4+AN5</f>
        <v>#DIV/0!</v>
      </c>
      <c r="AQ5" s="142"/>
      <c r="AR5" s="75" t="s">
        <v>88</v>
      </c>
      <c r="AS5" s="75">
        <f>COUNTIF(Table2783425[Item 2G], 3)</f>
        <v>0</v>
      </c>
      <c r="AT5" s="72" t="e">
        <f>AS5/AS12</f>
        <v>#DIV/0!</v>
      </c>
      <c r="AU5" s="74" t="e">
        <f>AS5/AS8</f>
        <v>#DIV/0!</v>
      </c>
      <c r="AV5" s="72" t="e">
        <f>AV4+AU5</f>
        <v>#DIV/0!</v>
      </c>
      <c r="AX5" s="142"/>
      <c r="AY5" s="75" t="s">
        <v>88</v>
      </c>
      <c r="AZ5" s="75">
        <f>COUNTIF(Table278342526[Item 2H],3)</f>
        <v>0</v>
      </c>
      <c r="BA5" s="72" t="e">
        <f>AZ5/AZ12</f>
        <v>#DIV/0!</v>
      </c>
      <c r="BB5" s="74" t="e">
        <f>AZ5/AZ8</f>
        <v>#DIV/0!</v>
      </c>
      <c r="BC5" s="72" t="e">
        <f>BC4+BB5</f>
        <v>#DIV/0!</v>
      </c>
      <c r="BE5" s="142"/>
      <c r="BF5" s="75" t="s">
        <v>88</v>
      </c>
      <c r="BG5" s="75">
        <f>COUNTIF(Table27834252627[Item 2I], 3)</f>
        <v>0</v>
      </c>
      <c r="BH5" s="72" t="e">
        <f>BG5/BG12</f>
        <v>#DIV/0!</v>
      </c>
      <c r="BI5" s="74" t="e">
        <f>BG5/BG8</f>
        <v>#DIV/0!</v>
      </c>
      <c r="BJ5" s="72" t="e">
        <f>BJ4+BI5</f>
        <v>#DIV/0!</v>
      </c>
      <c r="BL5" s="142"/>
      <c r="BM5" s="75" t="s">
        <v>88</v>
      </c>
      <c r="BN5" s="75">
        <f>COUNTIF(Table2783425262728[Item 2I],3)</f>
        <v>0</v>
      </c>
      <c r="BO5" s="72" t="e">
        <f>BN5/BN12</f>
        <v>#DIV/0!</v>
      </c>
      <c r="BP5" s="74" t="e">
        <f>BN5/BN8</f>
        <v>#DIV/0!</v>
      </c>
      <c r="BQ5" s="72" t="e">
        <f>BQ4+BP5</f>
        <v>#DIV/0!</v>
      </c>
    </row>
    <row r="6" spans="1:69" x14ac:dyDescent="0.2">
      <c r="A6" s="152"/>
      <c r="B6" s="49" t="s">
        <v>87</v>
      </c>
      <c r="C6" s="49">
        <f>COUNTIF(Table229[Item 2A], 2)</f>
        <v>0</v>
      </c>
      <c r="D6" s="69" t="e">
        <f>C6/C12</f>
        <v>#DIV/0!</v>
      </c>
      <c r="E6" s="71" t="e">
        <f>C6/C8</f>
        <v>#DIV/0!</v>
      </c>
      <c r="F6" s="72" t="e">
        <f>F5+E6</f>
        <v>#DIV/0!</v>
      </c>
      <c r="H6" s="142"/>
      <c r="I6" s="75" t="s">
        <v>87</v>
      </c>
      <c r="J6" s="81">
        <f>COUNTIF(Table2430[Item 2B], 2)</f>
        <v>0</v>
      </c>
      <c r="K6" s="72" t="e">
        <f>J6/J12</f>
        <v>#DIV/0!</v>
      </c>
      <c r="L6" s="74" t="e">
        <f>J6/J8</f>
        <v>#DIV/0!</v>
      </c>
      <c r="M6" s="72" t="e">
        <f>M5+L6</f>
        <v>#DIV/0!</v>
      </c>
      <c r="O6" s="142"/>
      <c r="P6" s="75" t="s">
        <v>87</v>
      </c>
      <c r="Q6" s="75">
        <f>COUNTIF(Table2531[Item 2C], 2)</f>
        <v>0</v>
      </c>
      <c r="R6" s="72" t="e">
        <f>Q6/Q12</f>
        <v>#DIV/0!</v>
      </c>
      <c r="S6" s="74" t="e">
        <f>Q6/Q8</f>
        <v>#DIV/0!</v>
      </c>
      <c r="T6" s="72" t="e">
        <f>T5+S6</f>
        <v>#DIV/0!</v>
      </c>
      <c r="V6" s="142"/>
      <c r="W6" s="75" t="s">
        <v>87</v>
      </c>
      <c r="X6" s="75">
        <f>COUNTIF(Table2632[Item 2D], 2)</f>
        <v>0</v>
      </c>
      <c r="Y6" s="84" t="e">
        <f>X6/X12</f>
        <v>#DIV/0!</v>
      </c>
      <c r="Z6" s="74" t="e">
        <f>X6/X8</f>
        <v>#DIV/0!</v>
      </c>
      <c r="AA6" s="72" t="e">
        <f>AA5+Z6</f>
        <v>#DIV/0!</v>
      </c>
      <c r="AC6" s="142"/>
      <c r="AD6" s="75" t="s">
        <v>87</v>
      </c>
      <c r="AE6" s="75">
        <f>COUNTIF(Table2733[Item 2E], 2)</f>
        <v>0</v>
      </c>
      <c r="AF6" s="72" t="e">
        <f>AE6/AE12</f>
        <v>#DIV/0!</v>
      </c>
      <c r="AG6" s="74" t="e">
        <f>AE6/AE8</f>
        <v>#DIV/0!</v>
      </c>
      <c r="AH6" s="72" t="e">
        <f>AH5+AG6</f>
        <v>#DIV/0!</v>
      </c>
      <c r="AJ6" s="142"/>
      <c r="AK6" s="75" t="s">
        <v>87</v>
      </c>
      <c r="AL6" s="75">
        <f>COUNTIF(Table27834[Item 2F], 2)</f>
        <v>0</v>
      </c>
      <c r="AM6" s="72" t="e">
        <f>AL6/AL12</f>
        <v>#DIV/0!</v>
      </c>
      <c r="AN6" s="74" t="e">
        <f>AL6/AL8</f>
        <v>#DIV/0!</v>
      </c>
      <c r="AO6" s="72" t="e">
        <f>AO5+AN6</f>
        <v>#DIV/0!</v>
      </c>
      <c r="AQ6" s="142"/>
      <c r="AR6" s="75" t="s">
        <v>87</v>
      </c>
      <c r="AS6" s="75">
        <f>COUNTIF(Table2783425[Item 2G], 2)</f>
        <v>0</v>
      </c>
      <c r="AT6" s="72" t="e">
        <f>AS6/AS12</f>
        <v>#DIV/0!</v>
      </c>
      <c r="AU6" s="74" t="e">
        <f>AS6/AS8</f>
        <v>#DIV/0!</v>
      </c>
      <c r="AV6" s="72" t="e">
        <f>AV5+AU6</f>
        <v>#DIV/0!</v>
      </c>
      <c r="AX6" s="142"/>
      <c r="AY6" s="75" t="s">
        <v>87</v>
      </c>
      <c r="AZ6" s="75">
        <f>COUNTIF(Table278342526[Item 2H],2)</f>
        <v>0</v>
      </c>
      <c r="BA6" s="72" t="e">
        <f>AZ6/AZ12</f>
        <v>#DIV/0!</v>
      </c>
      <c r="BB6" s="74" t="e">
        <f>AZ6/AZ8</f>
        <v>#DIV/0!</v>
      </c>
      <c r="BC6" s="72" t="e">
        <f>BC5+BB6</f>
        <v>#DIV/0!</v>
      </c>
      <c r="BE6" s="142"/>
      <c r="BF6" s="75" t="s">
        <v>87</v>
      </c>
      <c r="BG6" s="75">
        <f>COUNTIF(Table27834252627[Item 2I], 2)</f>
        <v>0</v>
      </c>
      <c r="BH6" s="72" t="e">
        <f>BG6/BG12</f>
        <v>#DIV/0!</v>
      </c>
      <c r="BI6" s="74" t="e">
        <f>BG6/BG8</f>
        <v>#DIV/0!</v>
      </c>
      <c r="BJ6" s="72" t="e">
        <f>BJ5+BI6</f>
        <v>#DIV/0!</v>
      </c>
      <c r="BL6" s="142"/>
      <c r="BM6" s="75" t="s">
        <v>87</v>
      </c>
      <c r="BN6" s="75">
        <f>COUNTIF(Table2783425262728[Item 2I],2)</f>
        <v>0</v>
      </c>
      <c r="BO6" s="72" t="e">
        <f>BN6/BN12</f>
        <v>#DIV/0!</v>
      </c>
      <c r="BP6" s="74" t="e">
        <f>BN6/BN8</f>
        <v>#DIV/0!</v>
      </c>
      <c r="BQ6" s="72" t="e">
        <f>BQ5+BP6</f>
        <v>#DIV/0!</v>
      </c>
    </row>
    <row r="7" spans="1:69" x14ac:dyDescent="0.2">
      <c r="A7" s="152"/>
      <c r="B7" s="49" t="s">
        <v>86</v>
      </c>
      <c r="C7" s="49">
        <f>COUNTIF(Table229[Item 2A], 1)</f>
        <v>0</v>
      </c>
      <c r="D7" s="79" t="e">
        <f>C7/C12</f>
        <v>#DIV/0!</v>
      </c>
      <c r="E7" s="80" t="e">
        <f>C7/C8</f>
        <v>#DIV/0!</v>
      </c>
      <c r="F7" s="72" t="e">
        <f>F6+E7</f>
        <v>#DIV/0!</v>
      </c>
      <c r="H7" s="142"/>
      <c r="I7" s="75" t="s">
        <v>86</v>
      </c>
      <c r="J7" s="81">
        <f>COUNTIF(Table2430[Item 2B], 1)</f>
        <v>0</v>
      </c>
      <c r="K7" s="72" t="e">
        <f>J7/J12</f>
        <v>#DIV/0!</v>
      </c>
      <c r="L7" s="74" t="e">
        <f>J7/J8</f>
        <v>#DIV/0!</v>
      </c>
      <c r="M7" s="72" t="e">
        <f>M6+L7</f>
        <v>#DIV/0!</v>
      </c>
      <c r="O7" s="142"/>
      <c r="P7" s="75" t="s">
        <v>86</v>
      </c>
      <c r="Q7" s="75">
        <f>COUNTIF(Table2531[Item 2C], 1)</f>
        <v>0</v>
      </c>
      <c r="R7" s="72" t="e">
        <f>Q7/Q12</f>
        <v>#DIV/0!</v>
      </c>
      <c r="S7" s="74" t="e">
        <f>Q7/Q8</f>
        <v>#DIV/0!</v>
      </c>
      <c r="T7" s="72" t="e">
        <f>T6+S7</f>
        <v>#DIV/0!</v>
      </c>
      <c r="V7" s="142"/>
      <c r="W7" s="75" t="s">
        <v>86</v>
      </c>
      <c r="X7" s="75">
        <f>COUNTIF(Table2632[Item 2D], 1)</f>
        <v>0</v>
      </c>
      <c r="Y7" s="84" t="e">
        <f>X7/X12</f>
        <v>#DIV/0!</v>
      </c>
      <c r="Z7" s="74" t="e">
        <f>X7/X8</f>
        <v>#DIV/0!</v>
      </c>
      <c r="AA7" s="72" t="e">
        <f>AA6+Z7</f>
        <v>#DIV/0!</v>
      </c>
      <c r="AC7" s="142"/>
      <c r="AD7" s="75" t="s">
        <v>86</v>
      </c>
      <c r="AE7" s="75">
        <f>COUNTIF(Table2733[Item 2E], 1)</f>
        <v>0</v>
      </c>
      <c r="AF7" s="72" t="e">
        <f>AE7/AE12</f>
        <v>#DIV/0!</v>
      </c>
      <c r="AG7" s="74" t="e">
        <f>AE7/AE8</f>
        <v>#DIV/0!</v>
      </c>
      <c r="AH7" s="72" t="e">
        <f>AH6+AG7</f>
        <v>#DIV/0!</v>
      </c>
      <c r="AJ7" s="142"/>
      <c r="AK7" s="75" t="s">
        <v>86</v>
      </c>
      <c r="AL7" s="75">
        <f>COUNTIF(Table27834[Item 2F], 1)</f>
        <v>0</v>
      </c>
      <c r="AM7" s="72" t="e">
        <f>AL7/AL12</f>
        <v>#DIV/0!</v>
      </c>
      <c r="AN7" s="74" t="e">
        <f>AL7/AL8</f>
        <v>#DIV/0!</v>
      </c>
      <c r="AO7" s="72" t="e">
        <f>AO6+AN7</f>
        <v>#DIV/0!</v>
      </c>
      <c r="AQ7" s="142"/>
      <c r="AR7" s="75" t="s">
        <v>86</v>
      </c>
      <c r="AS7" s="75">
        <f>COUNTIF(Table2783425[Item 2G], 1)</f>
        <v>0</v>
      </c>
      <c r="AT7" s="72" t="e">
        <f>AS7/AS12</f>
        <v>#DIV/0!</v>
      </c>
      <c r="AU7" s="74" t="e">
        <f>AS7/AS8</f>
        <v>#DIV/0!</v>
      </c>
      <c r="AV7" s="72" t="e">
        <f>AV6+AU7</f>
        <v>#DIV/0!</v>
      </c>
      <c r="AX7" s="142"/>
      <c r="AY7" s="75" t="s">
        <v>86</v>
      </c>
      <c r="AZ7" s="75">
        <f>COUNTIF(Table278342526[Item 2H],1)</f>
        <v>0</v>
      </c>
      <c r="BA7" s="72" t="e">
        <f>AZ7/AZ12</f>
        <v>#DIV/0!</v>
      </c>
      <c r="BB7" s="74" t="e">
        <f>AZ7/AZ8</f>
        <v>#DIV/0!</v>
      </c>
      <c r="BC7" s="72" t="e">
        <f>BC6+BB7</f>
        <v>#DIV/0!</v>
      </c>
      <c r="BE7" s="142"/>
      <c r="BF7" s="75" t="s">
        <v>86</v>
      </c>
      <c r="BG7" s="75">
        <f>COUNTIF(Table27834252627[Item 2I], 1)</f>
        <v>0</v>
      </c>
      <c r="BH7" s="72" t="e">
        <f>BG7/BG12</f>
        <v>#DIV/0!</v>
      </c>
      <c r="BI7" s="74" t="e">
        <f>BG7/BG8</f>
        <v>#DIV/0!</v>
      </c>
      <c r="BJ7" s="72" t="e">
        <f>BJ6+BI7</f>
        <v>#DIV/0!</v>
      </c>
      <c r="BL7" s="142"/>
      <c r="BM7" s="75" t="s">
        <v>86</v>
      </c>
      <c r="BN7" s="75">
        <f>COUNTIF(Table2783425262728[Item 2I],1)</f>
        <v>0</v>
      </c>
      <c r="BO7" s="72" t="e">
        <f>BN7/BN12</f>
        <v>#DIV/0!</v>
      </c>
      <c r="BP7" s="74" t="e">
        <f>BN7/BN8</f>
        <v>#DIV/0!</v>
      </c>
      <c r="BQ7" s="72" t="e">
        <f>BQ6+BP7</f>
        <v>#DIV/0!</v>
      </c>
    </row>
    <row r="8" spans="1:69" x14ac:dyDescent="0.2">
      <c r="A8" s="152"/>
      <c r="B8" s="50" t="s">
        <v>66</v>
      </c>
      <c r="C8" s="73">
        <f>SUM(C3:C7)</f>
        <v>0</v>
      </c>
      <c r="D8" s="72" t="e">
        <f>SUM(D3:D7)</f>
        <v>#DIV/0!</v>
      </c>
      <c r="E8" s="74" t="e">
        <f>SUM(E3:E7)</f>
        <v>#DIV/0!</v>
      </c>
      <c r="F8" s="68"/>
      <c r="H8" s="142"/>
      <c r="I8" s="77" t="s">
        <v>66</v>
      </c>
      <c r="J8" s="81">
        <f>SUM(J3:J7)</f>
        <v>0</v>
      </c>
      <c r="K8" s="72" t="e">
        <f>SUM(K3:K7)</f>
        <v>#DIV/0!</v>
      </c>
      <c r="L8" s="74" t="e">
        <f>SUM(L3:L7)</f>
        <v>#DIV/0!</v>
      </c>
      <c r="M8" s="18"/>
      <c r="O8" s="142"/>
      <c r="P8" s="77" t="s">
        <v>66</v>
      </c>
      <c r="Q8" s="76">
        <f>SUM(Q3:Q7)</f>
        <v>0</v>
      </c>
      <c r="R8" s="72" t="e">
        <f>SUM(R3:R7)</f>
        <v>#DIV/0!</v>
      </c>
      <c r="S8" s="74" t="e">
        <f>SUM(S3:S7)</f>
        <v>#DIV/0!</v>
      </c>
      <c r="T8" s="18"/>
      <c r="V8" s="142"/>
      <c r="W8" s="77" t="s">
        <v>66</v>
      </c>
      <c r="X8" s="75">
        <f>SUM(X3:X7)</f>
        <v>0</v>
      </c>
      <c r="Y8" s="72" t="e">
        <f>SUM(Y3:Y7)</f>
        <v>#DIV/0!</v>
      </c>
      <c r="Z8" s="74" t="e">
        <f>SUM(Z3:Z7)</f>
        <v>#DIV/0!</v>
      </c>
      <c r="AA8" s="18"/>
      <c r="AC8" s="142"/>
      <c r="AD8" s="77" t="s">
        <v>66</v>
      </c>
      <c r="AE8" s="75">
        <f>SUM(AE3:AE7)</f>
        <v>0</v>
      </c>
      <c r="AF8" s="72" t="e">
        <f>SUM(AF3:AF7)</f>
        <v>#DIV/0!</v>
      </c>
      <c r="AG8" s="74" t="e">
        <f>SUM(AG3:AG7)</f>
        <v>#DIV/0!</v>
      </c>
      <c r="AH8" s="18"/>
      <c r="AJ8" s="142"/>
      <c r="AK8" s="77" t="s">
        <v>66</v>
      </c>
      <c r="AL8" s="75">
        <f>SUM(AL3:AL7)</f>
        <v>0</v>
      </c>
      <c r="AM8" s="72" t="e">
        <f>SUM(AM3:AM7)</f>
        <v>#DIV/0!</v>
      </c>
      <c r="AN8" s="74" t="e">
        <f>SUM(AN3:AN7)</f>
        <v>#DIV/0!</v>
      </c>
      <c r="AO8" s="18"/>
      <c r="AQ8" s="142"/>
      <c r="AR8" s="77" t="s">
        <v>66</v>
      </c>
      <c r="AS8" s="75">
        <f>SUM(AS3:AS7)</f>
        <v>0</v>
      </c>
      <c r="AT8" s="72" t="e">
        <f>SUM(AT3:AT7)</f>
        <v>#DIV/0!</v>
      </c>
      <c r="AU8" s="74" t="e">
        <f>SUM(AU3:AU7)</f>
        <v>#DIV/0!</v>
      </c>
      <c r="AV8" s="18"/>
      <c r="AX8" s="142"/>
      <c r="AY8" s="77" t="s">
        <v>66</v>
      </c>
      <c r="AZ8" s="75">
        <f>SUM(AZ3:AZ7)</f>
        <v>0</v>
      </c>
      <c r="BA8" s="72" t="e">
        <f>SUM(BA3:BA7)</f>
        <v>#DIV/0!</v>
      </c>
      <c r="BB8" s="74" t="e">
        <f>SUM(BB3:BB7)</f>
        <v>#DIV/0!</v>
      </c>
      <c r="BC8" s="18"/>
      <c r="BE8" s="142"/>
      <c r="BF8" s="77" t="s">
        <v>66</v>
      </c>
      <c r="BG8" s="75">
        <f>SUM(BG3:BG7)</f>
        <v>0</v>
      </c>
      <c r="BH8" s="72" t="e">
        <f>SUM(BH3:BH7)</f>
        <v>#DIV/0!</v>
      </c>
      <c r="BI8" s="74" t="e">
        <f>SUM(BI3:BI7)</f>
        <v>#DIV/0!</v>
      </c>
      <c r="BJ8" s="18"/>
      <c r="BL8" s="142"/>
      <c r="BM8" s="77" t="s">
        <v>66</v>
      </c>
      <c r="BN8" s="75">
        <f>SUM(BN3:BN7)</f>
        <v>0</v>
      </c>
      <c r="BO8" s="72" t="e">
        <f>SUM(BO3:BO7)</f>
        <v>#DIV/0!</v>
      </c>
      <c r="BP8" s="74" t="e">
        <f>SUM(BP3:BP7)</f>
        <v>#DIV/0!</v>
      </c>
      <c r="BQ8" s="18"/>
    </row>
    <row r="9" spans="1:69" x14ac:dyDescent="0.2">
      <c r="A9" s="149" t="s">
        <v>67</v>
      </c>
      <c r="B9" s="49" t="s">
        <v>68</v>
      </c>
      <c r="C9" s="73">
        <f>COUNTBLANK(Table229[Item 2A])</f>
        <v>0</v>
      </c>
      <c r="D9" s="72" t="e">
        <f>C9/C12</f>
        <v>#DIV/0!</v>
      </c>
      <c r="E9" s="78"/>
      <c r="F9" s="68"/>
      <c r="H9" s="142" t="s">
        <v>67</v>
      </c>
      <c r="I9" s="75" t="s">
        <v>68</v>
      </c>
      <c r="J9" s="81">
        <f>COUNTBLANK(Table2430[Item 2B])</f>
        <v>0</v>
      </c>
      <c r="K9" s="72" t="e">
        <f>J9/J12</f>
        <v>#DIV/0!</v>
      </c>
      <c r="L9" s="78"/>
      <c r="M9" s="18"/>
      <c r="O9" s="142" t="s">
        <v>67</v>
      </c>
      <c r="P9" s="75" t="s">
        <v>68</v>
      </c>
      <c r="Q9" s="75">
        <f>COUNTBLANK(Table2531[Item 2C])</f>
        <v>0</v>
      </c>
      <c r="R9" s="72" t="e">
        <f>Q9/Q12</f>
        <v>#DIV/0!</v>
      </c>
      <c r="S9" s="18"/>
      <c r="T9" s="18"/>
      <c r="V9" s="142" t="s">
        <v>67</v>
      </c>
      <c r="W9" s="75" t="s">
        <v>68</v>
      </c>
      <c r="X9" s="75">
        <f>COUNTBLANK(Table2632[Item 2D])</f>
        <v>0</v>
      </c>
      <c r="Y9" s="72" t="e">
        <f>X9/X12</f>
        <v>#DIV/0!</v>
      </c>
      <c r="Z9" s="18"/>
      <c r="AA9" s="18"/>
      <c r="AC9" s="142" t="s">
        <v>67</v>
      </c>
      <c r="AD9" s="75" t="s">
        <v>68</v>
      </c>
      <c r="AE9" s="75">
        <f>COUNTBLANK(Table2733[Item 2E])</f>
        <v>0</v>
      </c>
      <c r="AF9" s="72" t="e">
        <f>AE9/AE12</f>
        <v>#DIV/0!</v>
      </c>
      <c r="AG9" s="18"/>
      <c r="AH9" s="18"/>
      <c r="AJ9" s="142" t="s">
        <v>67</v>
      </c>
      <c r="AK9" s="75" t="s">
        <v>68</v>
      </c>
      <c r="AL9" s="75">
        <f>COUNTBLANK(Table27834[Item 2F])</f>
        <v>0</v>
      </c>
      <c r="AM9" s="72" t="e">
        <f>AL9/AL12</f>
        <v>#DIV/0!</v>
      </c>
      <c r="AN9" s="18"/>
      <c r="AO9" s="18"/>
      <c r="AQ9" s="142" t="s">
        <v>67</v>
      </c>
      <c r="AR9" s="75" t="s">
        <v>68</v>
      </c>
      <c r="AS9" s="75">
        <f>COUNTBLANK(Table2783425[Item 2G])</f>
        <v>0</v>
      </c>
      <c r="AT9" s="72" t="e">
        <f>AS9/AS12</f>
        <v>#DIV/0!</v>
      </c>
      <c r="AU9" s="18"/>
      <c r="AV9" s="18"/>
      <c r="AX9" s="142" t="s">
        <v>67</v>
      </c>
      <c r="AY9" s="75" t="s">
        <v>68</v>
      </c>
      <c r="AZ9" s="75">
        <f>COUNTBLANK(Table278342526[Item 2H])</f>
        <v>0</v>
      </c>
      <c r="BA9" s="72" t="e">
        <f>AZ9/AZ12</f>
        <v>#DIV/0!</v>
      </c>
      <c r="BB9" s="18"/>
      <c r="BC9" s="18"/>
      <c r="BE9" s="142" t="s">
        <v>67</v>
      </c>
      <c r="BF9" s="75" t="s">
        <v>68</v>
      </c>
      <c r="BG9" s="75">
        <f>COUNTBLANK(Table27834252627[Item 2I])</f>
        <v>0</v>
      </c>
      <c r="BH9" s="72" t="e">
        <f>BG9/BG12</f>
        <v>#DIV/0!</v>
      </c>
      <c r="BI9" s="18"/>
      <c r="BJ9" s="18"/>
      <c r="BL9" s="142" t="s">
        <v>67</v>
      </c>
      <c r="BM9" s="75" t="s">
        <v>68</v>
      </c>
      <c r="BN9" s="75">
        <f>COUNTBLANK(Table2783425262728[Item 2I])</f>
        <v>0</v>
      </c>
      <c r="BO9" s="72" t="e">
        <f>BN9/BN12</f>
        <v>#DIV/0!</v>
      </c>
      <c r="BP9" s="18"/>
      <c r="BQ9" s="18"/>
    </row>
    <row r="10" spans="1:69" x14ac:dyDescent="0.2">
      <c r="A10" s="150"/>
      <c r="B10" s="49" t="s">
        <v>91</v>
      </c>
      <c r="C10" s="73">
        <f>COUNTIF(Table229[Item 2A], 6)</f>
        <v>0</v>
      </c>
      <c r="D10" s="72" t="e">
        <f>C10/C12</f>
        <v>#DIV/0!</v>
      </c>
      <c r="E10" s="78"/>
      <c r="F10" s="68"/>
      <c r="H10" s="142"/>
      <c r="I10" s="75" t="s">
        <v>91</v>
      </c>
      <c r="J10" s="81">
        <f>COUNTIF(Table2430[Item 2B], 6)</f>
        <v>0</v>
      </c>
      <c r="K10" s="72" t="e">
        <f>J10/J12</f>
        <v>#DIV/0!</v>
      </c>
      <c r="L10" s="16"/>
      <c r="M10" s="18"/>
      <c r="O10" s="142"/>
      <c r="P10" s="75" t="s">
        <v>91</v>
      </c>
      <c r="Q10" s="75">
        <f>COUNTIF(Table2531[Item 2C], 6)</f>
        <v>0</v>
      </c>
      <c r="R10" s="72" t="e">
        <f>Q10/Q12</f>
        <v>#DIV/0!</v>
      </c>
      <c r="S10" s="16"/>
      <c r="T10" s="18"/>
      <c r="V10" s="142"/>
      <c r="W10" s="75" t="s">
        <v>91</v>
      </c>
      <c r="X10" s="75">
        <f>COUNTIF(Table2632[Item 2D], 6)</f>
        <v>0</v>
      </c>
      <c r="Y10" s="72" t="e">
        <f>X10/X12</f>
        <v>#DIV/0!</v>
      </c>
      <c r="Z10" s="16"/>
      <c r="AA10" s="18"/>
      <c r="AC10" s="142"/>
      <c r="AD10" s="75" t="s">
        <v>91</v>
      </c>
      <c r="AE10" s="75">
        <f>COUNTIF(Table2733[Item 2E], 6)</f>
        <v>0</v>
      </c>
      <c r="AF10" s="72" t="e">
        <f>AE10/AE12</f>
        <v>#DIV/0!</v>
      </c>
      <c r="AG10" s="16"/>
      <c r="AH10" s="18"/>
      <c r="AJ10" s="142"/>
      <c r="AK10" s="75" t="s">
        <v>91</v>
      </c>
      <c r="AL10" s="75">
        <f>COUNTIF(Table27834[Item 2F], 6)</f>
        <v>0</v>
      </c>
      <c r="AM10" s="72" t="e">
        <f>AL10/AL12</f>
        <v>#DIV/0!</v>
      </c>
      <c r="AN10" s="16"/>
      <c r="AO10" s="18"/>
      <c r="AQ10" s="142"/>
      <c r="AR10" s="75" t="s">
        <v>91</v>
      </c>
      <c r="AS10" s="75">
        <f>COUNTIF(Table2783425[Item 2G], 6)</f>
        <v>0</v>
      </c>
      <c r="AT10" s="72" t="e">
        <f>AS10/AS12</f>
        <v>#DIV/0!</v>
      </c>
      <c r="AU10" s="16"/>
      <c r="AV10" s="18"/>
      <c r="AX10" s="142"/>
      <c r="AY10" s="75" t="s">
        <v>91</v>
      </c>
      <c r="AZ10" s="75">
        <f>COUNTIF(Table278342526[Item 2H],6)</f>
        <v>0</v>
      </c>
      <c r="BA10" s="72" t="e">
        <f>AZ10/AZ12</f>
        <v>#DIV/0!</v>
      </c>
      <c r="BB10" s="16"/>
      <c r="BC10" s="18"/>
      <c r="BE10" s="142"/>
      <c r="BF10" s="75" t="s">
        <v>91</v>
      </c>
      <c r="BG10" s="75">
        <f>COUNTIF(Table27834252627[Item 2I], 6)</f>
        <v>0</v>
      </c>
      <c r="BH10" s="72" t="e">
        <f>BG10/BG12</f>
        <v>#DIV/0!</v>
      </c>
      <c r="BI10" s="16"/>
      <c r="BJ10" s="18"/>
      <c r="BL10" s="142"/>
      <c r="BM10" s="75" t="s">
        <v>91</v>
      </c>
      <c r="BN10" s="75">
        <f>COUNTIF(Table2783425262728[Item 2I],6)</f>
        <v>0</v>
      </c>
      <c r="BO10" s="72" t="e">
        <f>BN10/BN12</f>
        <v>#DIV/0!</v>
      </c>
      <c r="BP10" s="16"/>
      <c r="BQ10" s="18"/>
    </row>
    <row r="11" spans="1:69" x14ac:dyDescent="0.2">
      <c r="A11" s="151"/>
      <c r="B11" s="49" t="s">
        <v>92</v>
      </c>
      <c r="C11" s="73">
        <f>COUNTIF(Table229[Item 2A], 7)</f>
        <v>0</v>
      </c>
      <c r="D11" s="72" t="e">
        <f>C11/C12</f>
        <v>#DIV/0!</v>
      </c>
      <c r="E11" s="78"/>
      <c r="F11" s="68"/>
      <c r="H11" s="142"/>
      <c r="I11" s="75" t="s">
        <v>92</v>
      </c>
      <c r="J11" s="81">
        <f>COUNTIF(Table2430[Item 2B], 7)</f>
        <v>0</v>
      </c>
      <c r="K11" s="72" t="e">
        <f>J11/J12</f>
        <v>#DIV/0!</v>
      </c>
      <c r="L11" s="16"/>
      <c r="M11" s="18"/>
      <c r="O11" s="142"/>
      <c r="P11" s="75" t="s">
        <v>92</v>
      </c>
      <c r="Q11" s="75">
        <f>COUNTIF(Table2531[Item 2C], 7)</f>
        <v>0</v>
      </c>
      <c r="R11" s="72" t="e">
        <f>Q11/Q12</f>
        <v>#DIV/0!</v>
      </c>
      <c r="S11" s="16"/>
      <c r="T11" s="18"/>
      <c r="V11" s="142"/>
      <c r="W11" s="75" t="s">
        <v>92</v>
      </c>
      <c r="X11" s="75">
        <f>COUNTIF(Table2632[Item 2D], 7)</f>
        <v>0</v>
      </c>
      <c r="Y11" s="72" t="e">
        <f>X11/X12</f>
        <v>#DIV/0!</v>
      </c>
      <c r="Z11" s="16"/>
      <c r="AA11" s="18"/>
      <c r="AC11" s="142"/>
      <c r="AD11" s="75" t="s">
        <v>92</v>
      </c>
      <c r="AE11" s="75">
        <f>COUNTIF(Table2733[Item 2E], 7)</f>
        <v>0</v>
      </c>
      <c r="AF11" s="72" t="e">
        <f>AE11/AE12</f>
        <v>#DIV/0!</v>
      </c>
      <c r="AG11" s="16"/>
      <c r="AH11" s="18"/>
      <c r="AJ11" s="142"/>
      <c r="AK11" s="75" t="s">
        <v>92</v>
      </c>
      <c r="AL11" s="75">
        <f>COUNTIF(Table27834[Item 2F], 7)</f>
        <v>0</v>
      </c>
      <c r="AM11" s="72" t="e">
        <f>AL11/AL12</f>
        <v>#DIV/0!</v>
      </c>
      <c r="AN11" s="16"/>
      <c r="AO11" s="18"/>
      <c r="AQ11" s="142"/>
      <c r="AR11" s="75" t="s">
        <v>92</v>
      </c>
      <c r="AS11" s="75">
        <f>COUNTIF(Table2783425[Item 2G], 7)</f>
        <v>0</v>
      </c>
      <c r="AT11" s="72" t="e">
        <f>AS11/AS12</f>
        <v>#DIV/0!</v>
      </c>
      <c r="AU11" s="16"/>
      <c r="AV11" s="18"/>
      <c r="AX11" s="142"/>
      <c r="AY11" s="75" t="s">
        <v>92</v>
      </c>
      <c r="AZ11" s="75">
        <f>COUNTIF(Table278342526[Item 2H],7)</f>
        <v>0</v>
      </c>
      <c r="BA11" s="72" t="e">
        <f>AZ11/AZ12</f>
        <v>#DIV/0!</v>
      </c>
      <c r="BB11" s="16"/>
      <c r="BC11" s="18"/>
      <c r="BE11" s="142"/>
      <c r="BF11" s="75" t="s">
        <v>92</v>
      </c>
      <c r="BG11" s="75">
        <f>COUNTIF(Table27834252627[Item 2I], 7)</f>
        <v>0</v>
      </c>
      <c r="BH11" s="72" t="e">
        <f>BG11/BG12</f>
        <v>#DIV/0!</v>
      </c>
      <c r="BI11" s="16"/>
      <c r="BJ11" s="18"/>
      <c r="BL11" s="142"/>
      <c r="BM11" s="75" t="s">
        <v>92</v>
      </c>
      <c r="BN11" s="75">
        <f>COUNTIF(Table2783425262728[Item 2I],7)</f>
        <v>0</v>
      </c>
      <c r="BO11" s="72" t="e">
        <f>BN11/BN12</f>
        <v>#DIV/0!</v>
      </c>
      <c r="BP11" s="16"/>
      <c r="BQ11" s="18"/>
    </row>
    <row r="12" spans="1:69" x14ac:dyDescent="0.2">
      <c r="A12" s="50" t="s">
        <v>66</v>
      </c>
      <c r="B12" s="49"/>
      <c r="C12" s="73">
        <f>SUM(C8:C11)</f>
        <v>0</v>
      </c>
      <c r="D12" s="72" t="e">
        <f>SUM(D8:D11)</f>
        <v>#DIV/0!</v>
      </c>
      <c r="E12" s="68"/>
      <c r="F12" s="68"/>
      <c r="H12" s="77" t="s">
        <v>66</v>
      </c>
      <c r="I12" s="75"/>
      <c r="J12" s="81">
        <f>SUM(J8:J11)</f>
        <v>0</v>
      </c>
      <c r="K12" s="72" t="e">
        <f>SUM(K8:K11)</f>
        <v>#DIV/0!</v>
      </c>
      <c r="L12" s="18"/>
      <c r="M12" s="7"/>
      <c r="O12" s="77" t="s">
        <v>66</v>
      </c>
      <c r="P12" s="75"/>
      <c r="Q12" s="75">
        <f>SUM(Q8:Q11)</f>
        <v>0</v>
      </c>
      <c r="R12" s="72" t="e">
        <f>SUM(R8:R11)</f>
        <v>#DIV/0!</v>
      </c>
      <c r="S12" s="18"/>
      <c r="T12" s="7"/>
      <c r="V12" s="77" t="s">
        <v>66</v>
      </c>
      <c r="W12" s="75"/>
      <c r="X12" s="75">
        <f>SUM(X8:X11)</f>
        <v>0</v>
      </c>
      <c r="Y12" s="72" t="e">
        <f>SUM(Y8:Y11)</f>
        <v>#DIV/0!</v>
      </c>
      <c r="Z12" s="18"/>
      <c r="AA12" s="7"/>
      <c r="AC12" s="77" t="s">
        <v>66</v>
      </c>
      <c r="AD12" s="75"/>
      <c r="AE12" s="75">
        <f>SUM(AE8:AE11)</f>
        <v>0</v>
      </c>
      <c r="AF12" s="72" t="e">
        <f>SUM(AF8:AF11)</f>
        <v>#DIV/0!</v>
      </c>
      <c r="AG12" s="18"/>
      <c r="AH12" s="7"/>
      <c r="AJ12" s="77" t="s">
        <v>66</v>
      </c>
      <c r="AK12" s="75"/>
      <c r="AL12" s="75">
        <f>SUM(AL8:AL11)</f>
        <v>0</v>
      </c>
      <c r="AM12" s="96" t="e">
        <f>SUM(AM8:AM11)</f>
        <v>#DIV/0!</v>
      </c>
      <c r="AN12" s="18"/>
      <c r="AO12" s="7"/>
      <c r="AQ12" s="77" t="s">
        <v>66</v>
      </c>
      <c r="AR12" s="75"/>
      <c r="AS12" s="75">
        <f>SUM(AS8:AS11)</f>
        <v>0</v>
      </c>
      <c r="AT12" s="96" t="e">
        <f>SUM(AT8:AT11)</f>
        <v>#DIV/0!</v>
      </c>
      <c r="AU12" s="18"/>
      <c r="AV12" s="7"/>
      <c r="AX12" s="77" t="s">
        <v>66</v>
      </c>
      <c r="AY12" s="75"/>
      <c r="AZ12" s="75">
        <f>SUM(AZ8:AZ11)</f>
        <v>0</v>
      </c>
      <c r="BA12" s="96" t="e">
        <f>SUM(BA8:BA11)</f>
        <v>#DIV/0!</v>
      </c>
      <c r="BB12" s="18"/>
      <c r="BC12" s="7"/>
      <c r="BE12" s="77" t="s">
        <v>66</v>
      </c>
      <c r="BF12" s="75"/>
      <c r="BG12" s="75">
        <f>SUM(BG8:BG11)</f>
        <v>0</v>
      </c>
      <c r="BH12" s="96" t="e">
        <f>SUM(BH8:BH11)</f>
        <v>#DIV/0!</v>
      </c>
      <c r="BI12" s="18"/>
      <c r="BJ12" s="7"/>
      <c r="BL12" s="77" t="s">
        <v>66</v>
      </c>
      <c r="BM12" s="75"/>
      <c r="BN12" s="75">
        <f>SUM(BN8:BN11)</f>
        <v>0</v>
      </c>
      <c r="BO12" s="96" t="e">
        <f>SUM(BO8:BO11)</f>
        <v>#DIV/0!</v>
      </c>
      <c r="BP12" s="18"/>
      <c r="BQ12" s="7"/>
    </row>
  </sheetData>
  <sheetProtection algorithmName="SHA-512" hashValue="v/Pqt6uSPZWElGUwX8RMd8jFft5+qLXs+nUqLiu6LCBN2DTt7DdxvqNbpyBKe+D5rA04bTdu22KFFtL+94J6tg==" saltValue="vn1xYryWSknIjJOML/l0rg==" spinCount="100000" sheet="1" objects="1" scenarios="1"/>
  <mergeCells count="40">
    <mergeCell ref="O3:O8"/>
    <mergeCell ref="V3:V8"/>
    <mergeCell ref="AC3:AC8"/>
    <mergeCell ref="AJ3:AJ8"/>
    <mergeCell ref="A9:A11"/>
    <mergeCell ref="H9:H11"/>
    <mergeCell ref="A3:A8"/>
    <mergeCell ref="H3:H8"/>
    <mergeCell ref="O9:O11"/>
    <mergeCell ref="V9:V11"/>
    <mergeCell ref="AC9:AC11"/>
    <mergeCell ref="AJ9:AJ11"/>
    <mergeCell ref="AJ1:AO1"/>
    <mergeCell ref="A2:B2"/>
    <mergeCell ref="H2:I2"/>
    <mergeCell ref="O2:P2"/>
    <mergeCell ref="V2:W2"/>
    <mergeCell ref="AC2:AD2"/>
    <mergeCell ref="AJ2:AK2"/>
    <mergeCell ref="H1:M1"/>
    <mergeCell ref="O1:T1"/>
    <mergeCell ref="V1:AA1"/>
    <mergeCell ref="AC1:AH1"/>
    <mergeCell ref="A1:F1"/>
    <mergeCell ref="AQ1:AV1"/>
    <mergeCell ref="AQ2:AR2"/>
    <mergeCell ref="AQ3:AQ8"/>
    <mergeCell ref="AQ9:AQ11"/>
    <mergeCell ref="AX1:BC1"/>
    <mergeCell ref="AX2:AY2"/>
    <mergeCell ref="AX3:AX8"/>
    <mergeCell ref="AX9:AX11"/>
    <mergeCell ref="BE1:BJ1"/>
    <mergeCell ref="BE2:BF2"/>
    <mergeCell ref="BE3:BE8"/>
    <mergeCell ref="BE9:BE11"/>
    <mergeCell ref="BL1:BQ1"/>
    <mergeCell ref="BL2:BM2"/>
    <mergeCell ref="BL3:BL8"/>
    <mergeCell ref="BL9:BL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Change in Means- Data Input</vt:lpstr>
      <vt:lpstr>Change in Means- Overview</vt:lpstr>
      <vt:lpstr>Change in Means- Per Item</vt:lpstr>
      <vt:lpstr>Intenions to Adopt- Data Input</vt:lpstr>
      <vt:lpstr>Intenions to Adopt- Overview</vt:lpstr>
      <vt:lpstr>Intenions to Adopt- Per Item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Paul Pope</dc:creator>
  <cp:keywords/>
  <dc:description/>
  <cp:lastModifiedBy>Anton Soriano</cp:lastModifiedBy>
  <cp:revision/>
  <dcterms:created xsi:type="dcterms:W3CDTF">2013-11-04T17:05:11Z</dcterms:created>
  <dcterms:modified xsi:type="dcterms:W3CDTF">2024-12-04T22:52:09Z</dcterms:modified>
  <cp:category/>
  <cp:contentStatus/>
</cp:coreProperties>
</file>